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96119CB3-7A34-4DC4-947C-759428DFF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20" i="1" l="1"/>
  <c r="M820" i="1" s="1"/>
  <c r="L819" i="1"/>
  <c r="M819" i="1" s="1"/>
  <c r="L818" i="1"/>
  <c r="M818" i="1" s="1"/>
  <c r="M817" i="1"/>
  <c r="L817" i="1"/>
  <c r="L816" i="1"/>
  <c r="M816" i="1" s="1"/>
  <c r="M815" i="1"/>
  <c r="L815" i="1"/>
  <c r="M814" i="1"/>
  <c r="L814" i="1"/>
  <c r="L813" i="1"/>
  <c r="M813" i="1" s="1"/>
  <c r="L812" i="1"/>
  <c r="M812" i="1" s="1"/>
  <c r="M811" i="1"/>
  <c r="L811" i="1"/>
  <c r="L810" i="1"/>
  <c r="M810" i="1" s="1"/>
  <c r="M809" i="1"/>
  <c r="L809" i="1"/>
  <c r="M808" i="1"/>
  <c r="L808" i="1"/>
  <c r="L807" i="1"/>
  <c r="M807" i="1" s="1"/>
  <c r="I806" i="1"/>
  <c r="L805" i="1"/>
  <c r="M805" i="1" s="1"/>
  <c r="L804" i="1"/>
  <c r="I803" i="1"/>
  <c r="L802" i="1"/>
  <c r="M802" i="1" s="1"/>
  <c r="M801" i="1"/>
  <c r="L801" i="1"/>
  <c r="L803" i="1" s="1"/>
  <c r="I800" i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L792" i="1"/>
  <c r="M792" i="1" s="1"/>
  <c r="L791" i="1"/>
  <c r="M791" i="1" s="1"/>
  <c r="L790" i="1"/>
  <c r="M790" i="1" s="1"/>
  <c r="I789" i="1"/>
  <c r="M788" i="1"/>
  <c r="L788" i="1"/>
  <c r="M787" i="1"/>
  <c r="L787" i="1"/>
  <c r="M786" i="1"/>
  <c r="L786" i="1"/>
  <c r="L785" i="1"/>
  <c r="M785" i="1" s="1"/>
  <c r="L784" i="1"/>
  <c r="M784" i="1" s="1"/>
  <c r="M783" i="1"/>
  <c r="L783" i="1"/>
  <c r="M782" i="1"/>
  <c r="L782" i="1"/>
  <c r="M781" i="1"/>
  <c r="L781" i="1"/>
  <c r="M780" i="1"/>
  <c r="L780" i="1"/>
  <c r="I779" i="1"/>
  <c r="L778" i="1"/>
  <c r="M778" i="1" s="1"/>
  <c r="L777" i="1"/>
  <c r="L779" i="1" s="1"/>
  <c r="I776" i="1"/>
  <c r="M775" i="1"/>
  <c r="L775" i="1"/>
  <c r="L774" i="1"/>
  <c r="M774" i="1" s="1"/>
  <c r="M773" i="1"/>
  <c r="L773" i="1"/>
  <c r="M772" i="1"/>
  <c r="L772" i="1"/>
  <c r="L771" i="1"/>
  <c r="M771" i="1" s="1"/>
  <c r="L770" i="1"/>
  <c r="L776" i="1" s="1"/>
  <c r="I769" i="1"/>
  <c r="L768" i="1"/>
  <c r="M768" i="1" s="1"/>
  <c r="L767" i="1"/>
  <c r="M767" i="1" s="1"/>
  <c r="L766" i="1"/>
  <c r="M766" i="1" s="1"/>
  <c r="L765" i="1"/>
  <c r="M765" i="1" s="1"/>
  <c r="L764" i="1"/>
  <c r="I763" i="1"/>
  <c r="L762" i="1"/>
  <c r="M762" i="1" s="1"/>
  <c r="L761" i="1"/>
  <c r="M761" i="1" s="1"/>
  <c r="L760" i="1"/>
  <c r="M760" i="1" s="1"/>
  <c r="M759" i="1"/>
  <c r="L759" i="1"/>
  <c r="L758" i="1"/>
  <c r="M758" i="1" s="1"/>
  <c r="L757" i="1"/>
  <c r="M757" i="1" s="1"/>
  <c r="L756" i="1"/>
  <c r="L755" i="1"/>
  <c r="M755" i="1" s="1"/>
  <c r="I754" i="1"/>
  <c r="L753" i="1"/>
  <c r="M753" i="1" s="1"/>
  <c r="L752" i="1"/>
  <c r="L754" i="1" s="1"/>
  <c r="I751" i="1"/>
  <c r="L750" i="1"/>
  <c r="M750" i="1" s="1"/>
  <c r="L749" i="1"/>
  <c r="L751" i="1" s="1"/>
  <c r="L748" i="1"/>
  <c r="M748" i="1" s="1"/>
  <c r="I747" i="1"/>
  <c r="L746" i="1"/>
  <c r="M746" i="1" s="1"/>
  <c r="L745" i="1"/>
  <c r="L747" i="1" s="1"/>
  <c r="I744" i="1"/>
  <c r="M743" i="1"/>
  <c r="L743" i="1"/>
  <c r="M742" i="1"/>
  <c r="L742" i="1"/>
  <c r="L741" i="1"/>
  <c r="M741" i="1" s="1"/>
  <c r="I740" i="1"/>
  <c r="L739" i="1"/>
  <c r="M739" i="1" s="1"/>
  <c r="L738" i="1"/>
  <c r="M738" i="1" s="1"/>
  <c r="L737" i="1"/>
  <c r="M737" i="1" s="1"/>
  <c r="L736" i="1"/>
  <c r="L735" i="1"/>
  <c r="M735" i="1" s="1"/>
  <c r="L734" i="1"/>
  <c r="M734" i="1" s="1"/>
  <c r="L733" i="1"/>
  <c r="M733" i="1" s="1"/>
  <c r="I732" i="1"/>
  <c r="L731" i="1"/>
  <c r="M731" i="1" s="1"/>
  <c r="L730" i="1"/>
  <c r="M730" i="1" s="1"/>
  <c r="M729" i="1"/>
  <c r="L729" i="1"/>
  <c r="M728" i="1"/>
  <c r="L728" i="1"/>
  <c r="L727" i="1"/>
  <c r="L732" i="1" s="1"/>
  <c r="I726" i="1"/>
  <c r="L725" i="1"/>
  <c r="M725" i="1" s="1"/>
  <c r="L724" i="1"/>
  <c r="M724" i="1" s="1"/>
  <c r="L723" i="1"/>
  <c r="M723" i="1" s="1"/>
  <c r="L722" i="1"/>
  <c r="I721" i="1"/>
  <c r="L720" i="1"/>
  <c r="M720" i="1" s="1"/>
  <c r="L719" i="1"/>
  <c r="I718" i="1"/>
  <c r="L717" i="1"/>
  <c r="M717" i="1" s="1"/>
  <c r="L716" i="1"/>
  <c r="M716" i="1" s="1"/>
  <c r="L715" i="1"/>
  <c r="M715" i="1" s="1"/>
  <c r="L714" i="1"/>
  <c r="L718" i="1" s="1"/>
  <c r="L713" i="1"/>
  <c r="M713" i="1" s="1"/>
  <c r="L712" i="1"/>
  <c r="M712" i="1" s="1"/>
  <c r="L711" i="1"/>
  <c r="M711" i="1" s="1"/>
  <c r="L710" i="1"/>
  <c r="M710" i="1" s="1"/>
  <c r="L709" i="1"/>
  <c r="M709" i="1" s="1"/>
  <c r="I708" i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I693" i="1"/>
  <c r="L692" i="1"/>
  <c r="M692" i="1" s="1"/>
  <c r="L691" i="1"/>
  <c r="M691" i="1" s="1"/>
  <c r="L690" i="1"/>
  <c r="M690" i="1" s="1"/>
  <c r="L689" i="1"/>
  <c r="M689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M681" i="1"/>
  <c r="L681" i="1"/>
  <c r="L680" i="1"/>
  <c r="M680" i="1" s="1"/>
  <c r="M679" i="1"/>
  <c r="L679" i="1"/>
  <c r="I678" i="1"/>
  <c r="L677" i="1"/>
  <c r="M677" i="1" s="1"/>
  <c r="L676" i="1"/>
  <c r="L678" i="1" s="1"/>
  <c r="I675" i="1"/>
  <c r="L674" i="1"/>
  <c r="M674" i="1" s="1"/>
  <c r="L673" i="1"/>
  <c r="M673" i="1" s="1"/>
  <c r="M672" i="1"/>
  <c r="L672" i="1"/>
  <c r="L671" i="1"/>
  <c r="M671" i="1" s="1"/>
  <c r="M670" i="1"/>
  <c r="L670" i="1"/>
  <c r="L669" i="1"/>
  <c r="M669" i="1" s="1"/>
  <c r="L668" i="1"/>
  <c r="M668" i="1" s="1"/>
  <c r="L667" i="1"/>
  <c r="M667" i="1" s="1"/>
  <c r="L666" i="1"/>
  <c r="M666" i="1" s="1"/>
  <c r="L665" i="1"/>
  <c r="M665" i="1" s="1"/>
  <c r="M664" i="1"/>
  <c r="L664" i="1"/>
  <c r="M663" i="1"/>
  <c r="L663" i="1"/>
  <c r="L662" i="1"/>
  <c r="M662" i="1" s="1"/>
  <c r="L661" i="1"/>
  <c r="M661" i="1" s="1"/>
  <c r="L660" i="1"/>
  <c r="M660" i="1" s="1"/>
  <c r="L659" i="1"/>
  <c r="M659" i="1" s="1"/>
  <c r="M658" i="1"/>
  <c r="L658" i="1"/>
  <c r="M657" i="1"/>
  <c r="L657" i="1"/>
  <c r="L656" i="1"/>
  <c r="M656" i="1" s="1"/>
  <c r="L655" i="1"/>
  <c r="M655" i="1" s="1"/>
  <c r="M654" i="1"/>
  <c r="L654" i="1"/>
  <c r="L653" i="1"/>
  <c r="L675" i="1" s="1"/>
  <c r="I652" i="1"/>
  <c r="L651" i="1"/>
  <c r="M651" i="1" s="1"/>
  <c r="L650" i="1"/>
  <c r="M650" i="1" s="1"/>
  <c r="L649" i="1"/>
  <c r="M649" i="1" s="1"/>
  <c r="L648" i="1"/>
  <c r="M648" i="1" s="1"/>
  <c r="L647" i="1"/>
  <c r="L652" i="1" s="1"/>
  <c r="L646" i="1"/>
  <c r="M646" i="1" s="1"/>
  <c r="I645" i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L604" i="1"/>
  <c r="M604" i="1" s="1"/>
  <c r="I603" i="1"/>
  <c r="L602" i="1"/>
  <c r="M602" i="1" s="1"/>
  <c r="L601" i="1"/>
  <c r="L603" i="1" s="1"/>
  <c r="I600" i="1"/>
  <c r="M599" i="1"/>
  <c r="L599" i="1"/>
  <c r="M598" i="1"/>
  <c r="L598" i="1"/>
  <c r="L600" i="1" s="1"/>
  <c r="M597" i="1"/>
  <c r="L597" i="1"/>
  <c r="L596" i="1"/>
  <c r="M596" i="1" s="1"/>
  <c r="M595" i="1"/>
  <c r="L595" i="1"/>
  <c r="I594" i="1"/>
  <c r="L593" i="1"/>
  <c r="M593" i="1" s="1"/>
  <c r="L592" i="1"/>
  <c r="L594" i="1" s="1"/>
  <c r="L591" i="1"/>
  <c r="M591" i="1" s="1"/>
  <c r="I590" i="1"/>
  <c r="L589" i="1"/>
  <c r="M589" i="1" s="1"/>
  <c r="M588" i="1"/>
  <c r="L588" i="1"/>
  <c r="L590" i="1" s="1"/>
  <c r="L587" i="1"/>
  <c r="M587" i="1" s="1"/>
  <c r="I586" i="1"/>
  <c r="L585" i="1"/>
  <c r="M585" i="1" s="1"/>
  <c r="L584" i="1"/>
  <c r="M584" i="1" s="1"/>
  <c r="L583" i="1"/>
  <c r="M583" i="1" s="1"/>
  <c r="L582" i="1"/>
  <c r="M582" i="1" s="1"/>
  <c r="L581" i="1"/>
  <c r="I580" i="1"/>
  <c r="L579" i="1"/>
  <c r="M579" i="1" s="1"/>
  <c r="L578" i="1"/>
  <c r="L580" i="1" s="1"/>
  <c r="I577" i="1"/>
  <c r="L576" i="1"/>
  <c r="M576" i="1" s="1"/>
  <c r="L575" i="1"/>
  <c r="L577" i="1" s="1"/>
  <c r="I574" i="1"/>
  <c r="L573" i="1"/>
  <c r="M573" i="1" s="1"/>
  <c r="L572" i="1"/>
  <c r="M572" i="1" s="1"/>
  <c r="L571" i="1"/>
  <c r="M571" i="1" s="1"/>
  <c r="L570" i="1"/>
  <c r="L574" i="1" s="1"/>
  <c r="L569" i="1"/>
  <c r="M569" i="1" s="1"/>
  <c r="M568" i="1"/>
  <c r="L568" i="1"/>
  <c r="L567" i="1"/>
  <c r="M567" i="1" s="1"/>
  <c r="M566" i="1"/>
  <c r="L566" i="1"/>
  <c r="I565" i="1"/>
  <c r="L564" i="1"/>
  <c r="M564" i="1" s="1"/>
  <c r="L563" i="1"/>
  <c r="L565" i="1" s="1"/>
  <c r="L562" i="1"/>
  <c r="M562" i="1" s="1"/>
  <c r="L561" i="1"/>
  <c r="M561" i="1" s="1"/>
  <c r="I560" i="1"/>
  <c r="L559" i="1"/>
  <c r="M559" i="1" s="1"/>
  <c r="L558" i="1"/>
  <c r="M558" i="1" s="1"/>
  <c r="L557" i="1"/>
  <c r="M557" i="1" s="1"/>
  <c r="M556" i="1"/>
  <c r="L556" i="1"/>
  <c r="M555" i="1"/>
  <c r="L555" i="1"/>
  <c r="L554" i="1"/>
  <c r="I553" i="1"/>
  <c r="L552" i="1"/>
  <c r="M552" i="1" s="1"/>
  <c r="L551" i="1"/>
  <c r="M551" i="1" s="1"/>
  <c r="L550" i="1"/>
  <c r="M550" i="1" s="1"/>
  <c r="L549" i="1"/>
  <c r="M549" i="1" s="1"/>
  <c r="L548" i="1"/>
  <c r="L553" i="1" s="1"/>
  <c r="I547" i="1"/>
  <c r="L546" i="1"/>
  <c r="M546" i="1" s="1"/>
  <c r="L545" i="1"/>
  <c r="M545" i="1" s="1"/>
  <c r="L544" i="1"/>
  <c r="M544" i="1" s="1"/>
  <c r="M543" i="1"/>
  <c r="L543" i="1"/>
  <c r="M542" i="1"/>
  <c r="L542" i="1"/>
  <c r="M541" i="1"/>
  <c r="L541" i="1"/>
  <c r="I540" i="1"/>
  <c r="L539" i="1"/>
  <c r="M539" i="1" s="1"/>
  <c r="L538" i="1"/>
  <c r="M538" i="1" s="1"/>
  <c r="L537" i="1"/>
  <c r="M537" i="1" s="1"/>
  <c r="L536" i="1"/>
  <c r="M536" i="1" s="1"/>
  <c r="L535" i="1"/>
  <c r="L534" i="1"/>
  <c r="M534" i="1" s="1"/>
  <c r="L533" i="1"/>
  <c r="M533" i="1" s="1"/>
  <c r="L532" i="1"/>
  <c r="M532" i="1" s="1"/>
  <c r="L531" i="1"/>
  <c r="M531" i="1" s="1"/>
  <c r="L530" i="1"/>
  <c r="M530" i="1" s="1"/>
  <c r="I529" i="1"/>
  <c r="L528" i="1"/>
  <c r="M528" i="1" s="1"/>
  <c r="L527" i="1"/>
  <c r="M527" i="1" s="1"/>
  <c r="L526" i="1"/>
  <c r="L525" i="1"/>
  <c r="M525" i="1" s="1"/>
  <c r="I524" i="1"/>
  <c r="L523" i="1"/>
  <c r="M523" i="1" s="1"/>
  <c r="M522" i="1"/>
  <c r="M524" i="1" s="1"/>
  <c r="L522" i="1"/>
  <c r="L524" i="1" s="1"/>
  <c r="M521" i="1"/>
  <c r="L521" i="1"/>
  <c r="M520" i="1"/>
  <c r="L520" i="1"/>
  <c r="I519" i="1"/>
  <c r="L518" i="1"/>
  <c r="M518" i="1" s="1"/>
  <c r="L517" i="1"/>
  <c r="L516" i="1"/>
  <c r="M516" i="1" s="1"/>
  <c r="L515" i="1"/>
  <c r="M515" i="1" s="1"/>
  <c r="L514" i="1"/>
  <c r="M514" i="1" s="1"/>
  <c r="L513" i="1"/>
  <c r="M513" i="1" s="1"/>
  <c r="L512" i="1"/>
  <c r="M512" i="1" s="1"/>
  <c r="M511" i="1"/>
  <c r="L511" i="1"/>
  <c r="I510" i="1"/>
  <c r="L509" i="1"/>
  <c r="M509" i="1" s="1"/>
  <c r="L508" i="1"/>
  <c r="M508" i="1" s="1"/>
  <c r="L507" i="1"/>
  <c r="M507" i="1" s="1"/>
  <c r="L506" i="1"/>
  <c r="I505" i="1"/>
  <c r="L504" i="1"/>
  <c r="M504" i="1" s="1"/>
  <c r="L503" i="1"/>
  <c r="M503" i="1" s="1"/>
  <c r="L502" i="1"/>
  <c r="M502" i="1" s="1"/>
  <c r="L501" i="1"/>
  <c r="M501" i="1" s="1"/>
  <c r="L500" i="1"/>
  <c r="M500" i="1" s="1"/>
  <c r="L499" i="1"/>
  <c r="M499" i="1" s="1"/>
  <c r="L498" i="1"/>
  <c r="M498" i="1" s="1"/>
  <c r="L497" i="1"/>
  <c r="M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1" i="1"/>
  <c r="I490" i="1"/>
  <c r="L489" i="1"/>
  <c r="M489" i="1" s="1"/>
  <c r="L488" i="1"/>
  <c r="I487" i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I470" i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I461" i="1"/>
  <c r="L460" i="1"/>
  <c r="M460" i="1" s="1"/>
  <c r="L459" i="1"/>
  <c r="I458" i="1"/>
  <c r="L457" i="1"/>
  <c r="M457" i="1" s="1"/>
  <c r="L456" i="1"/>
  <c r="L458" i="1" s="1"/>
  <c r="I455" i="1"/>
  <c r="L454" i="1"/>
  <c r="M454" i="1" s="1"/>
  <c r="L453" i="1"/>
  <c r="M453" i="1" s="1"/>
  <c r="L452" i="1"/>
  <c r="L455" i="1" s="1"/>
  <c r="I451" i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I443" i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4" i="1"/>
  <c r="L424" i="1"/>
  <c r="M423" i="1"/>
  <c r="L423" i="1"/>
  <c r="L422" i="1"/>
  <c r="M422" i="1" s="1"/>
  <c r="I421" i="1"/>
  <c r="L420" i="1"/>
  <c r="M420" i="1" s="1"/>
  <c r="L419" i="1"/>
  <c r="L421" i="1" s="1"/>
  <c r="L418" i="1"/>
  <c r="M418" i="1" s="1"/>
  <c r="L417" i="1"/>
  <c r="M417" i="1" s="1"/>
  <c r="I416" i="1"/>
  <c r="M415" i="1"/>
  <c r="L415" i="1"/>
  <c r="M414" i="1"/>
  <c r="L414" i="1"/>
  <c r="L413" i="1"/>
  <c r="L416" i="1" s="1"/>
  <c r="I412" i="1"/>
  <c r="L411" i="1"/>
  <c r="M411" i="1" s="1"/>
  <c r="L410" i="1"/>
  <c r="M410" i="1" s="1"/>
  <c r="L409" i="1"/>
  <c r="L412" i="1" s="1"/>
  <c r="L408" i="1"/>
  <c r="M408" i="1" s="1"/>
  <c r="L407" i="1"/>
  <c r="I407" i="1"/>
  <c r="M406" i="1"/>
  <c r="L406" i="1"/>
  <c r="L405" i="1"/>
  <c r="M405" i="1" s="1"/>
  <c r="M404" i="1"/>
  <c r="L404" i="1"/>
  <c r="I403" i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I396" i="1"/>
  <c r="M395" i="1"/>
  <c r="L395" i="1"/>
  <c r="M394" i="1"/>
  <c r="L394" i="1"/>
  <c r="M393" i="1"/>
  <c r="L393" i="1"/>
  <c r="L396" i="1" s="1"/>
  <c r="L392" i="1"/>
  <c r="M392" i="1" s="1"/>
  <c r="L391" i="1"/>
  <c r="M391" i="1" s="1"/>
  <c r="M390" i="1"/>
  <c r="L390" i="1"/>
  <c r="M389" i="1"/>
  <c r="L389" i="1"/>
  <c r="M388" i="1"/>
  <c r="L388" i="1"/>
  <c r="I387" i="1"/>
  <c r="L386" i="1"/>
  <c r="M386" i="1" s="1"/>
  <c r="L385" i="1"/>
  <c r="I384" i="1"/>
  <c r="L383" i="1"/>
  <c r="M383" i="1" s="1"/>
  <c r="M382" i="1"/>
  <c r="L382" i="1"/>
  <c r="M381" i="1"/>
  <c r="L381" i="1"/>
  <c r="M380" i="1"/>
  <c r="L380" i="1"/>
  <c r="M379" i="1"/>
  <c r="L379" i="1"/>
  <c r="L378" i="1"/>
  <c r="M378" i="1" s="1"/>
  <c r="L377" i="1"/>
  <c r="M377" i="1" s="1"/>
  <c r="I376" i="1"/>
  <c r="L375" i="1"/>
  <c r="M375" i="1" s="1"/>
  <c r="L374" i="1"/>
  <c r="L376" i="1" s="1"/>
  <c r="L373" i="1"/>
  <c r="M373" i="1" s="1"/>
  <c r="I372" i="1"/>
  <c r="L371" i="1"/>
  <c r="M371" i="1" s="1"/>
  <c r="M370" i="1"/>
  <c r="L370" i="1"/>
  <c r="L369" i="1"/>
  <c r="M369" i="1" s="1"/>
  <c r="M368" i="1"/>
  <c r="L368" i="1"/>
  <c r="L367" i="1"/>
  <c r="M367" i="1" s="1"/>
  <c r="L366" i="1"/>
  <c r="M366" i="1" s="1"/>
  <c r="L365" i="1"/>
  <c r="M365" i="1" s="1"/>
  <c r="M364" i="1"/>
  <c r="L364" i="1"/>
  <c r="I363" i="1"/>
  <c r="L362" i="1"/>
  <c r="M362" i="1" s="1"/>
  <c r="L361" i="1"/>
  <c r="L363" i="1" s="1"/>
  <c r="I360" i="1"/>
  <c r="M359" i="1"/>
  <c r="L359" i="1"/>
  <c r="M358" i="1"/>
  <c r="M360" i="1" s="1"/>
  <c r="L358" i="1"/>
  <c r="L360" i="1" s="1"/>
  <c r="I357" i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L347" i="1"/>
  <c r="I347" i="1"/>
  <c r="M346" i="1"/>
  <c r="L346" i="1"/>
  <c r="L345" i="1"/>
  <c r="M345" i="1" s="1"/>
  <c r="M347" i="1" s="1"/>
  <c r="L344" i="1"/>
  <c r="M344" i="1" s="1"/>
  <c r="L343" i="1"/>
  <c r="M343" i="1" s="1"/>
  <c r="L342" i="1"/>
  <c r="M342" i="1" s="1"/>
  <c r="M341" i="1"/>
  <c r="L341" i="1"/>
  <c r="I340" i="1"/>
  <c r="L339" i="1"/>
  <c r="M339" i="1" s="1"/>
  <c r="L338" i="1"/>
  <c r="L340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I330" i="1"/>
  <c r="L329" i="1"/>
  <c r="M329" i="1" s="1"/>
  <c r="L328" i="1"/>
  <c r="L330" i="1" s="1"/>
  <c r="L327" i="1"/>
  <c r="M327" i="1" s="1"/>
  <c r="M326" i="1"/>
  <c r="L326" i="1"/>
  <c r="M325" i="1"/>
  <c r="L325" i="1"/>
  <c r="L324" i="1"/>
  <c r="M324" i="1" s="1"/>
  <c r="L323" i="1"/>
  <c r="M323" i="1" s="1"/>
  <c r="L322" i="1"/>
  <c r="M322" i="1" s="1"/>
  <c r="L321" i="1"/>
  <c r="M321" i="1" s="1"/>
  <c r="M320" i="1"/>
  <c r="L320" i="1"/>
  <c r="M319" i="1"/>
  <c r="L319" i="1"/>
  <c r="L318" i="1"/>
  <c r="M318" i="1" s="1"/>
  <c r="L317" i="1"/>
  <c r="M317" i="1" s="1"/>
  <c r="I316" i="1"/>
  <c r="L315" i="1"/>
  <c r="M315" i="1" s="1"/>
  <c r="L314" i="1"/>
  <c r="L316" i="1" s="1"/>
  <c r="L313" i="1"/>
  <c r="M313" i="1" s="1"/>
  <c r="L312" i="1"/>
  <c r="M312" i="1" s="1"/>
  <c r="I311" i="1"/>
  <c r="M310" i="1"/>
  <c r="L310" i="1"/>
  <c r="M309" i="1"/>
  <c r="L309" i="1"/>
  <c r="L308" i="1"/>
  <c r="M308" i="1" s="1"/>
  <c r="M311" i="1" s="1"/>
  <c r="M307" i="1"/>
  <c r="L307" i="1"/>
  <c r="L306" i="1"/>
  <c r="M306" i="1" s="1"/>
  <c r="L305" i="1"/>
  <c r="M305" i="1" s="1"/>
  <c r="M304" i="1"/>
  <c r="L304" i="1"/>
  <c r="M303" i="1"/>
  <c r="L303" i="1"/>
  <c r="M302" i="1"/>
  <c r="L302" i="1"/>
  <c r="I301" i="1"/>
  <c r="L300" i="1"/>
  <c r="M300" i="1" s="1"/>
  <c r="L299" i="1"/>
  <c r="L301" i="1" s="1"/>
  <c r="L298" i="1"/>
  <c r="M298" i="1" s="1"/>
  <c r="L297" i="1"/>
  <c r="M297" i="1" s="1"/>
  <c r="I296" i="1"/>
  <c r="L295" i="1"/>
  <c r="M295" i="1" s="1"/>
  <c r="L294" i="1"/>
  <c r="M294" i="1" s="1"/>
  <c r="L293" i="1"/>
  <c r="M293" i="1" s="1"/>
  <c r="L292" i="1"/>
  <c r="M292" i="1" s="1"/>
  <c r="M291" i="1"/>
  <c r="L291" i="1"/>
  <c r="I290" i="1"/>
  <c r="L289" i="1"/>
  <c r="M289" i="1" s="1"/>
  <c r="L288" i="1"/>
  <c r="L290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I275" i="1"/>
  <c r="L274" i="1"/>
  <c r="M274" i="1" s="1"/>
  <c r="L273" i="1"/>
  <c r="L272" i="1"/>
  <c r="M272" i="1" s="1"/>
  <c r="L271" i="1"/>
  <c r="M271" i="1" s="1"/>
  <c r="I270" i="1"/>
  <c r="L269" i="1"/>
  <c r="M269" i="1" s="1"/>
  <c r="L268" i="1"/>
  <c r="L267" i="1"/>
  <c r="M267" i="1" s="1"/>
  <c r="L266" i="1"/>
  <c r="M266" i="1" s="1"/>
  <c r="L265" i="1"/>
  <c r="M265" i="1" s="1"/>
  <c r="L264" i="1"/>
  <c r="M264" i="1" s="1"/>
  <c r="L263" i="1"/>
  <c r="M263" i="1" s="1"/>
  <c r="I262" i="1"/>
  <c r="L261" i="1"/>
  <c r="M261" i="1" s="1"/>
  <c r="L260" i="1"/>
  <c r="L262" i="1" s="1"/>
  <c r="L259" i="1"/>
  <c r="M259" i="1" s="1"/>
  <c r="L258" i="1"/>
  <c r="M258" i="1" s="1"/>
  <c r="L257" i="1"/>
  <c r="M257" i="1" s="1"/>
  <c r="M256" i="1"/>
  <c r="L256" i="1"/>
  <c r="L255" i="1"/>
  <c r="M255" i="1" s="1"/>
  <c r="I254" i="1"/>
  <c r="L253" i="1"/>
  <c r="M253" i="1" s="1"/>
  <c r="L252" i="1"/>
  <c r="L254" i="1" s="1"/>
  <c r="L251" i="1"/>
  <c r="M251" i="1" s="1"/>
  <c r="I250" i="1"/>
  <c r="L249" i="1"/>
  <c r="M249" i="1" s="1"/>
  <c r="M248" i="1"/>
  <c r="L248" i="1"/>
  <c r="M247" i="1"/>
  <c r="L247" i="1"/>
  <c r="L246" i="1"/>
  <c r="M246" i="1" s="1"/>
  <c r="L245" i="1"/>
  <c r="M245" i="1" s="1"/>
  <c r="L244" i="1"/>
  <c r="M244" i="1" s="1"/>
  <c r="L243" i="1"/>
  <c r="M242" i="1"/>
  <c r="L242" i="1"/>
  <c r="M241" i="1"/>
  <c r="L241" i="1"/>
  <c r="M240" i="1"/>
  <c r="L240" i="1"/>
  <c r="L239" i="1"/>
  <c r="M239" i="1" s="1"/>
  <c r="I238" i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M209" i="1"/>
  <c r="L209" i="1"/>
  <c r="M208" i="1"/>
  <c r="L208" i="1"/>
  <c r="M207" i="1"/>
  <c r="L207" i="1"/>
  <c r="L206" i="1"/>
  <c r="M206" i="1" s="1"/>
  <c r="L205" i="1"/>
  <c r="M205" i="1" s="1"/>
  <c r="L204" i="1"/>
  <c r="M204" i="1" s="1"/>
  <c r="M203" i="1"/>
  <c r="L203" i="1"/>
  <c r="M202" i="1"/>
  <c r="L202" i="1"/>
  <c r="M201" i="1"/>
  <c r="L201" i="1"/>
  <c r="L200" i="1"/>
  <c r="M200" i="1" s="1"/>
  <c r="I199" i="1"/>
  <c r="L198" i="1"/>
  <c r="M198" i="1" s="1"/>
  <c r="L197" i="1"/>
  <c r="M197" i="1" s="1"/>
  <c r="L196" i="1"/>
  <c r="M196" i="1" s="1"/>
  <c r="L195" i="1"/>
  <c r="M195" i="1" s="1"/>
  <c r="L194" i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I188" i="1"/>
  <c r="M187" i="1"/>
  <c r="L187" i="1"/>
  <c r="L186" i="1"/>
  <c r="M186" i="1" s="1"/>
  <c r="L185" i="1"/>
  <c r="M185" i="1" s="1"/>
  <c r="L184" i="1"/>
  <c r="M184" i="1" s="1"/>
  <c r="I183" i="1"/>
  <c r="L182" i="1"/>
  <c r="M182" i="1" s="1"/>
  <c r="L181" i="1"/>
  <c r="L183" i="1" s="1"/>
  <c r="L180" i="1"/>
  <c r="I180" i="1"/>
  <c r="M179" i="1"/>
  <c r="L179" i="1"/>
  <c r="M178" i="1"/>
  <c r="L178" i="1"/>
  <c r="M177" i="1"/>
  <c r="L177" i="1"/>
  <c r="M176" i="1"/>
  <c r="L176" i="1"/>
  <c r="L175" i="1"/>
  <c r="M175" i="1" s="1"/>
  <c r="M174" i="1"/>
  <c r="L174" i="1"/>
  <c r="M173" i="1"/>
  <c r="L173" i="1"/>
  <c r="M172" i="1"/>
  <c r="L172" i="1"/>
  <c r="I171" i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L163" i="1"/>
  <c r="I163" i="1"/>
  <c r="M162" i="1"/>
  <c r="L162" i="1"/>
  <c r="M161" i="1"/>
  <c r="L161" i="1"/>
  <c r="M160" i="1"/>
  <c r="L160" i="1"/>
  <c r="I159" i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I152" i="1"/>
  <c r="L151" i="1"/>
  <c r="M151" i="1" s="1"/>
  <c r="L150" i="1"/>
  <c r="M150" i="1" s="1"/>
  <c r="M149" i="1"/>
  <c r="L149" i="1"/>
  <c r="M148" i="1"/>
  <c r="L148" i="1"/>
  <c r="L147" i="1"/>
  <c r="M147" i="1" s="1"/>
  <c r="L146" i="1"/>
  <c r="M146" i="1" s="1"/>
  <c r="L145" i="1"/>
  <c r="L152" i="1" s="1"/>
  <c r="I144" i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L136" i="1"/>
  <c r="M136" i="1" s="1"/>
  <c r="I135" i="1"/>
  <c r="L134" i="1"/>
  <c r="M134" i="1" s="1"/>
  <c r="L133" i="1"/>
  <c r="M133" i="1" s="1"/>
  <c r="I132" i="1"/>
  <c r="L131" i="1"/>
  <c r="M131" i="1" s="1"/>
  <c r="L130" i="1"/>
  <c r="I129" i="1"/>
  <c r="M128" i="1"/>
  <c r="L128" i="1"/>
  <c r="L129" i="1" s="1"/>
  <c r="M127" i="1"/>
  <c r="M129" i="1" s="1"/>
  <c r="L127" i="1"/>
  <c r="L126" i="1"/>
  <c r="M126" i="1" s="1"/>
  <c r="M125" i="1"/>
  <c r="L125" i="1"/>
  <c r="M124" i="1"/>
  <c r="L124" i="1"/>
  <c r="L123" i="1"/>
  <c r="M123" i="1" s="1"/>
  <c r="M122" i="1"/>
  <c r="L122" i="1"/>
  <c r="M121" i="1"/>
  <c r="L121" i="1"/>
  <c r="L120" i="1"/>
  <c r="M120" i="1" s="1"/>
  <c r="M119" i="1"/>
  <c r="L119" i="1"/>
  <c r="M118" i="1"/>
  <c r="L118" i="1"/>
  <c r="L117" i="1"/>
  <c r="M117" i="1" s="1"/>
  <c r="M116" i="1"/>
  <c r="L116" i="1"/>
  <c r="M115" i="1"/>
  <c r="L115" i="1"/>
  <c r="L114" i="1"/>
  <c r="M114" i="1" s="1"/>
  <c r="M113" i="1"/>
  <c r="L113" i="1"/>
  <c r="M112" i="1"/>
  <c r="L112" i="1"/>
  <c r="L111" i="1"/>
  <c r="M111" i="1" s="1"/>
  <c r="L110" i="1"/>
  <c r="L109" i="1"/>
  <c r="L108" i="1"/>
  <c r="M107" i="1"/>
  <c r="I107" i="1"/>
  <c r="L106" i="1"/>
  <c r="L105" i="1"/>
  <c r="L104" i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I96" i="1"/>
  <c r="L95" i="1"/>
  <c r="M95" i="1" s="1"/>
  <c r="L94" i="1"/>
  <c r="L96" i="1" s="1"/>
  <c r="M93" i="1"/>
  <c r="L93" i="1"/>
  <c r="M92" i="1"/>
  <c r="L92" i="1"/>
  <c r="M91" i="1"/>
  <c r="L91" i="1"/>
  <c r="M90" i="1"/>
  <c r="L90" i="1"/>
  <c r="L89" i="1"/>
  <c r="M89" i="1" s="1"/>
  <c r="L88" i="1"/>
  <c r="M88" i="1" s="1"/>
  <c r="M87" i="1"/>
  <c r="L87" i="1"/>
  <c r="M86" i="1"/>
  <c r="L86" i="1"/>
  <c r="M85" i="1"/>
  <c r="L85" i="1"/>
  <c r="M84" i="1"/>
  <c r="L84" i="1"/>
  <c r="L83" i="1"/>
  <c r="M83" i="1" s="1"/>
  <c r="L82" i="1"/>
  <c r="M82" i="1" s="1"/>
  <c r="M81" i="1"/>
  <c r="L81" i="1"/>
  <c r="M80" i="1"/>
  <c r="L80" i="1"/>
  <c r="M79" i="1"/>
  <c r="L79" i="1"/>
  <c r="L78" i="1"/>
  <c r="M78" i="1" s="1"/>
  <c r="L77" i="1"/>
  <c r="M77" i="1" s="1"/>
  <c r="I76" i="1"/>
  <c r="L75" i="1"/>
  <c r="M75" i="1" s="1"/>
  <c r="L74" i="1"/>
  <c r="L76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I61" i="1"/>
  <c r="M60" i="1"/>
  <c r="L60" i="1"/>
  <c r="M59" i="1"/>
  <c r="L59" i="1"/>
  <c r="L58" i="1"/>
  <c r="M58" i="1" s="1"/>
  <c r="M57" i="1"/>
  <c r="L57" i="1"/>
  <c r="M56" i="1"/>
  <c r="L56" i="1"/>
  <c r="L55" i="1"/>
  <c r="L61" i="1" s="1"/>
  <c r="M54" i="1"/>
  <c r="L54" i="1"/>
  <c r="M53" i="1"/>
  <c r="L53" i="1"/>
  <c r="L52" i="1"/>
  <c r="M52" i="1" s="1"/>
  <c r="M51" i="1"/>
  <c r="L51" i="1"/>
  <c r="M50" i="1"/>
  <c r="L50" i="1"/>
  <c r="I49" i="1"/>
  <c r="L48" i="1"/>
  <c r="M48" i="1" s="1"/>
  <c r="L47" i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I40" i="1"/>
  <c r="L39" i="1"/>
  <c r="M39" i="1" s="1"/>
  <c r="M38" i="1"/>
  <c r="L38" i="1"/>
  <c r="M37" i="1"/>
  <c r="L37" i="1"/>
  <c r="L40" i="1" s="1"/>
  <c r="I36" i="1"/>
  <c r="L35" i="1"/>
  <c r="M35" i="1" s="1"/>
  <c r="L34" i="1"/>
  <c r="L36" i="1" s="1"/>
  <c r="L33" i="1"/>
  <c r="M33" i="1" s="1"/>
  <c r="L32" i="1"/>
  <c r="M32" i="1" s="1"/>
  <c r="I31" i="1"/>
  <c r="L30" i="1"/>
  <c r="M30" i="1" s="1"/>
  <c r="L29" i="1"/>
  <c r="M29" i="1" s="1"/>
  <c r="M28" i="1"/>
  <c r="L28" i="1"/>
  <c r="L27" i="1"/>
  <c r="M27" i="1" s="1"/>
  <c r="I26" i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I17" i="1"/>
  <c r="L16" i="1"/>
  <c r="M16" i="1" s="1"/>
  <c r="L15" i="1"/>
  <c r="M15" i="1" s="1"/>
  <c r="L14" i="1"/>
  <c r="M14" i="1" s="1"/>
  <c r="L13" i="1"/>
  <c r="I12" i="1"/>
  <c r="L11" i="1"/>
  <c r="L10" i="1"/>
  <c r="M10" i="1" s="1"/>
  <c r="M12" i="1" s="1"/>
  <c r="L9" i="1"/>
  <c r="M9" i="1" s="1"/>
  <c r="L8" i="1"/>
  <c r="M8" i="1" s="1"/>
  <c r="L7" i="1"/>
  <c r="M7" i="1" s="1"/>
  <c r="L6" i="1"/>
  <c r="M6" i="1" s="1"/>
  <c r="I5" i="1"/>
  <c r="L4" i="1"/>
  <c r="M4" i="1" s="1"/>
  <c r="M3" i="1"/>
  <c r="L3" i="1"/>
  <c r="L5" i="1" s="1"/>
  <c r="L2" i="1"/>
  <c r="M2" i="1" s="1"/>
  <c r="M296" i="1" l="1"/>
  <c r="M135" i="1"/>
  <c r="M17" i="1"/>
  <c r="M31" i="1"/>
  <c r="M188" i="1"/>
  <c r="L31" i="1"/>
  <c r="L171" i="1"/>
  <c r="L250" i="1"/>
  <c r="L296" i="1"/>
  <c r="L510" i="1"/>
  <c r="M744" i="1"/>
  <c r="L144" i="1"/>
  <c r="M94" i="1"/>
  <c r="M96" i="1" s="1"/>
  <c r="M243" i="1"/>
  <c r="M250" i="1" s="1"/>
  <c r="L270" i="1"/>
  <c r="L311" i="1"/>
  <c r="L403" i="1"/>
  <c r="L461" i="1"/>
  <c r="L487" i="1"/>
  <c r="L519" i="1"/>
  <c r="L529" i="1"/>
  <c r="M803" i="1"/>
  <c r="L645" i="1"/>
  <c r="L238" i="1"/>
  <c r="L470" i="1"/>
  <c r="L547" i="1"/>
  <c r="M653" i="1"/>
  <c r="L740" i="1"/>
  <c r="L800" i="1"/>
  <c r="L107" i="1"/>
  <c r="L17" i="1"/>
  <c r="M163" i="1"/>
  <c r="M180" i="1"/>
  <c r="M238" i="1"/>
  <c r="M260" i="1"/>
  <c r="M262" i="1" s="1"/>
  <c r="L372" i="1"/>
  <c r="L387" i="1"/>
  <c r="M547" i="1"/>
  <c r="M590" i="1"/>
  <c r="L693" i="1"/>
  <c r="M727" i="1"/>
  <c r="M732" i="1" s="1"/>
  <c r="L26" i="1"/>
  <c r="M145" i="1"/>
  <c r="M152" i="1" s="1"/>
  <c r="L275" i="1"/>
  <c r="M328" i="1"/>
  <c r="M330" i="1" s="1"/>
  <c r="M372" i="1"/>
  <c r="L490" i="1"/>
  <c r="L806" i="1"/>
  <c r="M40" i="1"/>
  <c r="L135" i="1"/>
  <c r="M396" i="1"/>
  <c r="M600" i="1"/>
  <c r="L708" i="1"/>
  <c r="L763" i="1"/>
  <c r="L443" i="1"/>
  <c r="L49" i="1"/>
  <c r="L199" i="1"/>
  <c r="L586" i="1"/>
  <c r="L721" i="1"/>
  <c r="M756" i="1"/>
  <c r="L769" i="1"/>
  <c r="M770" i="1"/>
  <c r="M776" i="1" s="1"/>
  <c r="L159" i="1"/>
  <c r="M407" i="1"/>
  <c r="L505" i="1"/>
  <c r="L560" i="1"/>
  <c r="M55" i="1"/>
  <c r="M61" i="1" s="1"/>
  <c r="L357" i="1"/>
  <c r="L384" i="1"/>
  <c r="M413" i="1"/>
  <c r="M416" i="1" s="1"/>
  <c r="L451" i="1"/>
  <c r="L540" i="1"/>
  <c r="M554" i="1"/>
  <c r="M560" i="1" s="1"/>
  <c r="M749" i="1"/>
  <c r="M751" i="1" s="1"/>
  <c r="L789" i="1"/>
  <c r="M5" i="1"/>
  <c r="L132" i="1"/>
  <c r="M384" i="1"/>
  <c r="L726" i="1"/>
  <c r="L744" i="1"/>
  <c r="M789" i="1"/>
  <c r="L12" i="1"/>
  <c r="M18" i="1"/>
  <c r="M26" i="1" s="1"/>
  <c r="M34" i="1"/>
  <c r="M36" i="1" s="1"/>
  <c r="M47" i="1"/>
  <c r="M49" i="1" s="1"/>
  <c r="M74" i="1"/>
  <c r="M76" i="1" s="1"/>
  <c r="M130" i="1"/>
  <c r="M132" i="1" s="1"/>
  <c r="M137" i="1"/>
  <c r="M144" i="1" s="1"/>
  <c r="M153" i="1"/>
  <c r="M159" i="1" s="1"/>
  <c r="M164" i="1"/>
  <c r="M171" i="1" s="1"/>
  <c r="M181" i="1"/>
  <c r="M183" i="1" s="1"/>
  <c r="M194" i="1"/>
  <c r="M199" i="1" s="1"/>
  <c r="M675" i="1"/>
  <c r="M693" i="1"/>
  <c r="M763" i="1"/>
  <c r="M252" i="1"/>
  <c r="M254" i="1" s="1"/>
  <c r="M268" i="1"/>
  <c r="M270" i="1" s="1"/>
  <c r="M288" i="1"/>
  <c r="M290" i="1" s="1"/>
  <c r="M299" i="1"/>
  <c r="M301" i="1" s="1"/>
  <c r="M314" i="1"/>
  <c r="M316" i="1" s="1"/>
  <c r="M338" i="1"/>
  <c r="M340" i="1" s="1"/>
  <c r="M348" i="1"/>
  <c r="M357" i="1" s="1"/>
  <c r="M361" i="1"/>
  <c r="M363" i="1" s="1"/>
  <c r="M374" i="1"/>
  <c r="M376" i="1" s="1"/>
  <c r="M385" i="1"/>
  <c r="M387" i="1" s="1"/>
  <c r="M397" i="1"/>
  <c r="M403" i="1" s="1"/>
  <c r="M409" i="1"/>
  <c r="M412" i="1" s="1"/>
  <c r="M419" i="1"/>
  <c r="M421" i="1" s="1"/>
  <c r="M444" i="1"/>
  <c r="M451" i="1" s="1"/>
  <c r="M456" i="1"/>
  <c r="M458" i="1" s="1"/>
  <c r="M462" i="1"/>
  <c r="M470" i="1" s="1"/>
  <c r="M488" i="1"/>
  <c r="M490" i="1" s="1"/>
  <c r="M506" i="1"/>
  <c r="M510" i="1" s="1"/>
  <c r="M535" i="1"/>
  <c r="M540" i="1" s="1"/>
  <c r="M548" i="1"/>
  <c r="M553" i="1" s="1"/>
  <c r="M563" i="1"/>
  <c r="M565" i="1" s="1"/>
  <c r="M575" i="1"/>
  <c r="M577" i="1" s="1"/>
  <c r="M581" i="1"/>
  <c r="M586" i="1" s="1"/>
  <c r="M592" i="1"/>
  <c r="M594" i="1" s="1"/>
  <c r="M601" i="1"/>
  <c r="M603" i="1" s="1"/>
  <c r="M647" i="1"/>
  <c r="M652" i="1" s="1"/>
  <c r="M676" i="1"/>
  <c r="M678" i="1" s="1"/>
  <c r="M694" i="1"/>
  <c r="M708" i="1" s="1"/>
  <c r="M719" i="1"/>
  <c r="M721" i="1" s="1"/>
  <c r="M273" i="1"/>
  <c r="M275" i="1" s="1"/>
  <c r="M425" i="1"/>
  <c r="M443" i="1" s="1"/>
  <c r="M452" i="1"/>
  <c r="M455" i="1" s="1"/>
  <c r="M459" i="1"/>
  <c r="M461" i="1" s="1"/>
  <c r="M471" i="1"/>
  <c r="M487" i="1" s="1"/>
  <c r="M491" i="1"/>
  <c r="M505" i="1" s="1"/>
  <c r="M517" i="1"/>
  <c r="M519" i="1" s="1"/>
  <c r="M526" i="1"/>
  <c r="M529" i="1" s="1"/>
  <c r="M570" i="1"/>
  <c r="M574" i="1" s="1"/>
  <c r="M578" i="1"/>
  <c r="M580" i="1" s="1"/>
  <c r="M605" i="1"/>
  <c r="M645" i="1" s="1"/>
  <c r="M714" i="1"/>
  <c r="M718" i="1" s="1"/>
  <c r="M722" i="1"/>
  <c r="M726" i="1" s="1"/>
  <c r="M736" i="1"/>
  <c r="M740" i="1" s="1"/>
  <c r="M745" i="1"/>
  <c r="M747" i="1" s="1"/>
  <c r="M752" i="1"/>
  <c r="M754" i="1" s="1"/>
  <c r="M764" i="1"/>
  <c r="M769" i="1" s="1"/>
  <c r="M777" i="1"/>
  <c r="M779" i="1" s="1"/>
  <c r="M793" i="1"/>
  <c r="M800" i="1" s="1"/>
  <c r="M804" i="1"/>
  <c r="M806" i="1" s="1"/>
</calcChain>
</file>

<file path=xl/sharedStrings.xml><?xml version="1.0" encoding="utf-8"?>
<sst xmlns="http://schemas.openxmlformats.org/spreadsheetml/2006/main" count="6566" uniqueCount="939">
  <si>
    <t>Кат. Општина</t>
  </si>
  <si>
    <t>ЛН</t>
  </si>
  <si>
    <t>Удео</t>
  </si>
  <si>
    <t>Својина</t>
  </si>
  <si>
    <t>Врста права</t>
  </si>
  <si>
    <t>Обим права</t>
  </si>
  <si>
    <t>Кат. Парцела</t>
  </si>
  <si>
    <t>Култура</t>
  </si>
  <si>
    <t>Укупна површина у м2</t>
  </si>
  <si>
    <t>Потес</t>
  </si>
  <si>
    <t>ШЈН</t>
  </si>
  <si>
    <t xml:space="preserve">поч.цена (дин) </t>
  </si>
  <si>
    <t>депозит (дин)</t>
  </si>
  <si>
    <t>ГАКОВО</t>
  </si>
  <si>
    <t>596</t>
  </si>
  <si>
    <t>1/1</t>
  </si>
  <si>
    <t>Јавна</t>
  </si>
  <si>
    <t>Цело право</t>
  </si>
  <si>
    <t>1</t>
  </si>
  <si>
    <t>ЛИВАДА 3.класе</t>
  </si>
  <si>
    <t>КРАЉА ПЕТРА 1</t>
  </si>
  <si>
    <t>6/5</t>
  </si>
  <si>
    <t>ЛИВАДА 4.класе</t>
  </si>
  <si>
    <t>6/6</t>
  </si>
  <si>
    <t>ЊИВА 3.класе</t>
  </si>
  <si>
    <t>УКУПНО:</t>
  </si>
  <si>
    <t>79</t>
  </si>
  <si>
    <t>94/11</t>
  </si>
  <si>
    <t>ЊИВА 2.класе</t>
  </si>
  <si>
    <t>ПРОЛЕТЕРСКИХ БРИГАДА</t>
  </si>
  <si>
    <t>143</t>
  </si>
  <si>
    <t>146</t>
  </si>
  <si>
    <t>182/17</t>
  </si>
  <si>
    <t>ИВЕ ЛОЛЕ РИБАРА</t>
  </si>
  <si>
    <t>182/19</t>
  </si>
  <si>
    <t>182/20</t>
  </si>
  <si>
    <t>182/36</t>
  </si>
  <si>
    <t>182/37</t>
  </si>
  <si>
    <t>182/38</t>
  </si>
  <si>
    <t>182/39</t>
  </si>
  <si>
    <t>182/40</t>
  </si>
  <si>
    <t>182/41</t>
  </si>
  <si>
    <t>182/42</t>
  </si>
  <si>
    <t>182/43</t>
  </si>
  <si>
    <t>182/44</t>
  </si>
  <si>
    <t>182/45</t>
  </si>
  <si>
    <t>182/46</t>
  </si>
  <si>
    <t>182/47</t>
  </si>
  <si>
    <t>182/48</t>
  </si>
  <si>
    <t>182/49</t>
  </si>
  <si>
    <t>182/50</t>
  </si>
  <si>
    <t>182/51</t>
  </si>
  <si>
    <t>183</t>
  </si>
  <si>
    <t>201</t>
  </si>
  <si>
    <t>ПАШЊАК 4.класе</t>
  </si>
  <si>
    <t>БРАНКА РАДИЧЕВИЋА</t>
  </si>
  <si>
    <t>202</t>
  </si>
  <si>
    <t>РОВ</t>
  </si>
  <si>
    <t>244/1</t>
  </si>
  <si>
    <t>ПАШЊАК 3.класе</t>
  </si>
  <si>
    <t>244/2</t>
  </si>
  <si>
    <t>244/3</t>
  </si>
  <si>
    <t>312/2</t>
  </si>
  <si>
    <t>375/18</t>
  </si>
  <si>
    <t>БЛОК 3</t>
  </si>
  <si>
    <t>375/19</t>
  </si>
  <si>
    <t>375/22</t>
  </si>
  <si>
    <t>375/26</t>
  </si>
  <si>
    <t>431/5</t>
  </si>
  <si>
    <t>ЖАРКА ЗРЕЊАНИНА</t>
  </si>
  <si>
    <t>649/1</t>
  </si>
  <si>
    <t>ЛАЗЕ КОСТИЋА</t>
  </si>
  <si>
    <t>649/2</t>
  </si>
  <si>
    <t>853/2</t>
  </si>
  <si>
    <t>ВУКА С.КАРАЏИЋА</t>
  </si>
  <si>
    <t>853/3</t>
  </si>
  <si>
    <t>853/4</t>
  </si>
  <si>
    <t>855/3</t>
  </si>
  <si>
    <t>855/4</t>
  </si>
  <si>
    <t>855/5</t>
  </si>
  <si>
    <t>855/6</t>
  </si>
  <si>
    <t>855/7</t>
  </si>
  <si>
    <t>855/8</t>
  </si>
  <si>
    <t>855/9</t>
  </si>
  <si>
    <t>855/10</t>
  </si>
  <si>
    <t>874/2</t>
  </si>
  <si>
    <t>874/3</t>
  </si>
  <si>
    <t>874/4</t>
  </si>
  <si>
    <t>874/5</t>
  </si>
  <si>
    <t>874/6</t>
  </si>
  <si>
    <t>874/7</t>
  </si>
  <si>
    <t>874/10</t>
  </si>
  <si>
    <t>876/2</t>
  </si>
  <si>
    <t>876/6</t>
  </si>
  <si>
    <t>876/7</t>
  </si>
  <si>
    <t>876/8</t>
  </si>
  <si>
    <t>958</t>
  </si>
  <si>
    <t>ЖЕЛЕЗНИЧКА</t>
  </si>
  <si>
    <t>999/1</t>
  </si>
  <si>
    <t>ЛИВАДА 2.класе</t>
  </si>
  <si>
    <t>999/3</t>
  </si>
  <si>
    <t>КОЛУТ</t>
  </si>
  <si>
    <t>131</t>
  </si>
  <si>
    <t>56</t>
  </si>
  <si>
    <t>МАРКА ОРЕШКОВИЋА</t>
  </si>
  <si>
    <t>101/2</t>
  </si>
  <si>
    <t>ЦИГЛАНСКА</t>
  </si>
  <si>
    <t>113/2</t>
  </si>
  <si>
    <t>132/3</t>
  </si>
  <si>
    <t>148</t>
  </si>
  <si>
    <t>153</t>
  </si>
  <si>
    <t>187</t>
  </si>
  <si>
    <t>188/2</t>
  </si>
  <si>
    <t>190</t>
  </si>
  <si>
    <t>192</t>
  </si>
  <si>
    <t>194</t>
  </si>
  <si>
    <t>197</t>
  </si>
  <si>
    <t>ВИНОГРАД 3.класе</t>
  </si>
  <si>
    <t>199</t>
  </si>
  <si>
    <t>ОГЊЕНА ПРИЦЕ</t>
  </si>
  <si>
    <t>418</t>
  </si>
  <si>
    <t>449</t>
  </si>
  <si>
    <t>451</t>
  </si>
  <si>
    <t>ВОЋЊАК 3.класе</t>
  </si>
  <si>
    <t>588/3</t>
  </si>
  <si>
    <t>ЊИВА 4.класе</t>
  </si>
  <si>
    <t>РАДЕ КОНЧАРА</t>
  </si>
  <si>
    <t>589/1</t>
  </si>
  <si>
    <t>589/2</t>
  </si>
  <si>
    <t>620</t>
  </si>
  <si>
    <t>ПЕКИШЕ ВУКСАНА</t>
  </si>
  <si>
    <t>624</t>
  </si>
  <si>
    <t>937</t>
  </si>
  <si>
    <t>1020</t>
  </si>
  <si>
    <t>1023</t>
  </si>
  <si>
    <t>1025</t>
  </si>
  <si>
    <t>1028</t>
  </si>
  <si>
    <t>1057</t>
  </si>
  <si>
    <t>1069/1</t>
  </si>
  <si>
    <t>СТОЈАНА МАТИЋА</t>
  </si>
  <si>
    <t>1069/2</t>
  </si>
  <si>
    <t>1089/3</t>
  </si>
  <si>
    <t>1090/2</t>
  </si>
  <si>
    <t>1114/2</t>
  </si>
  <si>
    <t>1117/1</t>
  </si>
  <si>
    <t>1163/1</t>
  </si>
  <si>
    <t>1168</t>
  </si>
  <si>
    <t>1170</t>
  </si>
  <si>
    <t>1172</t>
  </si>
  <si>
    <t>1186</t>
  </si>
  <si>
    <t>1188</t>
  </si>
  <si>
    <t>1190</t>
  </si>
  <si>
    <t>1196</t>
  </si>
  <si>
    <t>1198</t>
  </si>
  <si>
    <t>1200</t>
  </si>
  <si>
    <t>1202</t>
  </si>
  <si>
    <t>1204</t>
  </si>
  <si>
    <t>РАСТИНА</t>
  </si>
  <si>
    <t>493</t>
  </si>
  <si>
    <t>6</t>
  </si>
  <si>
    <t>ЊИВА 5.класе</t>
  </si>
  <si>
    <t>В.РАДОМИР ПУТНИКА</t>
  </si>
  <si>
    <t>25/1</t>
  </si>
  <si>
    <t>39/1</t>
  </si>
  <si>
    <t>222</t>
  </si>
  <si>
    <t>ПАШЊАК 5.класе</t>
  </si>
  <si>
    <t>В.ЖИВОЈИНА МИШИЋА</t>
  </si>
  <si>
    <t>223</t>
  </si>
  <si>
    <t>БАРА</t>
  </si>
  <si>
    <t>469</t>
  </si>
  <si>
    <t>ПРЕКО КИЂОША</t>
  </si>
  <si>
    <t>470</t>
  </si>
  <si>
    <t>475/11</t>
  </si>
  <si>
    <t>475/22</t>
  </si>
  <si>
    <t>АЛЕКСА ШАНТИЋ</t>
  </si>
  <si>
    <t>1239</t>
  </si>
  <si>
    <t>208</t>
  </si>
  <si>
    <t>СОЛ.ДОБРОВОЉАЦА</t>
  </si>
  <si>
    <t>260/1</t>
  </si>
  <si>
    <t>ЊИВА 1.класе</t>
  </si>
  <si>
    <t>ЛИЧКА</t>
  </si>
  <si>
    <t>260/2</t>
  </si>
  <si>
    <t>260/3</t>
  </si>
  <si>
    <t>260/4</t>
  </si>
  <si>
    <t>260/5</t>
  </si>
  <si>
    <t>260/6</t>
  </si>
  <si>
    <t>260/7</t>
  </si>
  <si>
    <t>261/1</t>
  </si>
  <si>
    <t>261/2</t>
  </si>
  <si>
    <t>261/3</t>
  </si>
  <si>
    <t>261/4</t>
  </si>
  <si>
    <t>261/5</t>
  </si>
  <si>
    <t>261/6</t>
  </si>
  <si>
    <t>261/7</t>
  </si>
  <si>
    <t>263/1</t>
  </si>
  <si>
    <t>263/2</t>
  </si>
  <si>
    <t>263/3</t>
  </si>
  <si>
    <t>263/4</t>
  </si>
  <si>
    <t>263/5</t>
  </si>
  <si>
    <t>263/6</t>
  </si>
  <si>
    <t>265/1</t>
  </si>
  <si>
    <t>265/2</t>
  </si>
  <si>
    <t>265/4</t>
  </si>
  <si>
    <t>265/10</t>
  </si>
  <si>
    <t>265/12</t>
  </si>
  <si>
    <t>265/17</t>
  </si>
  <si>
    <t>265/18</t>
  </si>
  <si>
    <t>265/19</t>
  </si>
  <si>
    <t>265/20</t>
  </si>
  <si>
    <t>265/21</t>
  </si>
  <si>
    <t>349</t>
  </si>
  <si>
    <t>ХЕРЦЕГОВАЧКА</t>
  </si>
  <si>
    <t>452/1</t>
  </si>
  <si>
    <t>ЛИВАДА 1.класе</t>
  </si>
  <si>
    <t>СОМБОРСКИ ПУТ</t>
  </si>
  <si>
    <t>719</t>
  </si>
  <si>
    <t>ЈОВАНА ЈОВАНОВИЋА ЗМАЈА</t>
  </si>
  <si>
    <t>856/3</t>
  </si>
  <si>
    <t>ИВЕ АНДРИЋА</t>
  </si>
  <si>
    <t>856/6</t>
  </si>
  <si>
    <t>856/7</t>
  </si>
  <si>
    <t>856/8</t>
  </si>
  <si>
    <t>856/10</t>
  </si>
  <si>
    <t>856/13</t>
  </si>
  <si>
    <t>856/14</t>
  </si>
  <si>
    <t>856/18</t>
  </si>
  <si>
    <t>БАЧКИ МОНОШТОР</t>
  </si>
  <si>
    <t>939</t>
  </si>
  <si>
    <t>58</t>
  </si>
  <si>
    <t>КАНАЛСКА ОБАЛА</t>
  </si>
  <si>
    <t>64</t>
  </si>
  <si>
    <t>65</t>
  </si>
  <si>
    <t>1296/2</t>
  </si>
  <si>
    <t>БЕЗДАНСКА</t>
  </si>
  <si>
    <t>1308</t>
  </si>
  <si>
    <t>ОСТАЛО ВЕШТАЧКИ СТВОРЕНО НЕПЛ.</t>
  </si>
  <si>
    <t>3149</t>
  </si>
  <si>
    <t>60</t>
  </si>
  <si>
    <t>95</t>
  </si>
  <si>
    <t>168</t>
  </si>
  <si>
    <t>177/1</t>
  </si>
  <si>
    <t>ПЛАНА</t>
  </si>
  <si>
    <t>222/1</t>
  </si>
  <si>
    <t>231/1</t>
  </si>
  <si>
    <t>239/1</t>
  </si>
  <si>
    <t>240/1</t>
  </si>
  <si>
    <t>1480/5</t>
  </si>
  <si>
    <t>ДОЛСКА</t>
  </si>
  <si>
    <t>1528/1</t>
  </si>
  <si>
    <t>ПЕТРА ДРАПШИНА</t>
  </si>
  <si>
    <t>1528/3</t>
  </si>
  <si>
    <t>1528/4</t>
  </si>
  <si>
    <t>1528/5</t>
  </si>
  <si>
    <t>1528/6</t>
  </si>
  <si>
    <t>1528/7</t>
  </si>
  <si>
    <t>1528/8</t>
  </si>
  <si>
    <t>1528/9</t>
  </si>
  <si>
    <t>1528/10</t>
  </si>
  <si>
    <t>1528/11</t>
  </si>
  <si>
    <t>1528/12</t>
  </si>
  <si>
    <t>1528/13</t>
  </si>
  <si>
    <t>1528/14</t>
  </si>
  <si>
    <t>1528/15</t>
  </si>
  <si>
    <t>1528/16</t>
  </si>
  <si>
    <t>1528/17</t>
  </si>
  <si>
    <t>1528/18</t>
  </si>
  <si>
    <t>1528/19</t>
  </si>
  <si>
    <t>1528/20</t>
  </si>
  <si>
    <t>1528/21</t>
  </si>
  <si>
    <t>1528/22</t>
  </si>
  <si>
    <t>1528/23</t>
  </si>
  <si>
    <t>1528/24</t>
  </si>
  <si>
    <t>1528/25</t>
  </si>
  <si>
    <t>1528/26</t>
  </si>
  <si>
    <t>1528/27</t>
  </si>
  <si>
    <t>1528/28</t>
  </si>
  <si>
    <t>1528/29</t>
  </si>
  <si>
    <t>1528/30</t>
  </si>
  <si>
    <t>1528/31</t>
  </si>
  <si>
    <t>1528/32</t>
  </si>
  <si>
    <t>1528/33</t>
  </si>
  <si>
    <t>1528/34</t>
  </si>
  <si>
    <t>1528/35</t>
  </si>
  <si>
    <t>1528/36</t>
  </si>
  <si>
    <t>1528/38</t>
  </si>
  <si>
    <t>1528/39</t>
  </si>
  <si>
    <t>2482</t>
  </si>
  <si>
    <t>РИБАРСКА</t>
  </si>
  <si>
    <t>2484</t>
  </si>
  <si>
    <t>2583</t>
  </si>
  <si>
    <t>НОВА14</t>
  </si>
  <si>
    <t>2616/2</t>
  </si>
  <si>
    <t>ШУМСКА45</t>
  </si>
  <si>
    <t>2630/8</t>
  </si>
  <si>
    <t>НОВА СПОРТСКА</t>
  </si>
  <si>
    <t>2630/9</t>
  </si>
  <si>
    <t>2630/10</t>
  </si>
  <si>
    <t>2630/11</t>
  </si>
  <si>
    <t>2630/12</t>
  </si>
  <si>
    <t>2630/13</t>
  </si>
  <si>
    <t>2630/14</t>
  </si>
  <si>
    <t>2630/16</t>
  </si>
  <si>
    <t>ДОРОСЛОВО</t>
  </si>
  <si>
    <t>1822</t>
  </si>
  <si>
    <t>237</t>
  </si>
  <si>
    <t>ТРСТИК-МОЧВАРА 2.класе</t>
  </si>
  <si>
    <t>СТАНКА ОПСЕНИЦЕ</t>
  </si>
  <si>
    <t>238</t>
  </si>
  <si>
    <t>ВОЈВОЂАНСКА</t>
  </si>
  <si>
    <t>498</t>
  </si>
  <si>
    <t>502</t>
  </si>
  <si>
    <t>585</t>
  </si>
  <si>
    <t>592/2</t>
  </si>
  <si>
    <t>600</t>
  </si>
  <si>
    <t>602</t>
  </si>
  <si>
    <t>603</t>
  </si>
  <si>
    <t>659</t>
  </si>
  <si>
    <t>678</t>
  </si>
  <si>
    <t>ПЕТЕФИ ШАНДОРА</t>
  </si>
  <si>
    <t>685</t>
  </si>
  <si>
    <t>686</t>
  </si>
  <si>
    <t>998</t>
  </si>
  <si>
    <t>НИКОЛЕ ТЕСЛЕ</t>
  </si>
  <si>
    <t>1000</t>
  </si>
  <si>
    <t>1016</t>
  </si>
  <si>
    <t>1060</t>
  </si>
  <si>
    <t>ПАШЊАК 3. класе</t>
  </si>
  <si>
    <t>ЗЕМЉИШТЕ У ГРАЂЕВИНСКОМ ПОДРУЧЈУ</t>
  </si>
  <si>
    <t>КЉАЈИЋЕВО</t>
  </si>
  <si>
    <t>4129</t>
  </si>
  <si>
    <t>4/1</t>
  </si>
  <si>
    <t>ХАЈДУК ВЕЉКА</t>
  </si>
  <si>
    <t>138</t>
  </si>
  <si>
    <t>411</t>
  </si>
  <si>
    <t>ВОЋЊАК 2.класе</t>
  </si>
  <si>
    <t>ЧОНОПЉАНСКИ ПУТ</t>
  </si>
  <si>
    <t>412</t>
  </si>
  <si>
    <t>453</t>
  </si>
  <si>
    <t>649</t>
  </si>
  <si>
    <t>ДУШАНА МУДРАКА</t>
  </si>
  <si>
    <t>725</t>
  </si>
  <si>
    <t>729/1</t>
  </si>
  <si>
    <t>752</t>
  </si>
  <si>
    <t>797</t>
  </si>
  <si>
    <t>АРСЕНИЈА ЧАРНОЈЕВИЋА</t>
  </si>
  <si>
    <t>826</t>
  </si>
  <si>
    <t>ЊЕГОШЕВА</t>
  </si>
  <si>
    <t>828</t>
  </si>
  <si>
    <t>1014/2</t>
  </si>
  <si>
    <t>Ј.Н.А.</t>
  </si>
  <si>
    <t>1015/2</t>
  </si>
  <si>
    <t>1597</t>
  </si>
  <si>
    <t>1733/2</t>
  </si>
  <si>
    <t>ВЕЉКА ВЛАХОВИЋА</t>
  </si>
  <si>
    <t>1740</t>
  </si>
  <si>
    <t>1871/1</t>
  </si>
  <si>
    <t>ПРВОМАЈСКА</t>
  </si>
  <si>
    <t>1872/1</t>
  </si>
  <si>
    <t>2048</t>
  </si>
  <si>
    <t>2052</t>
  </si>
  <si>
    <t>МИЛОША КЉАЈИЋА</t>
  </si>
  <si>
    <t>ЊИВА 3..класе</t>
  </si>
  <si>
    <t>РАДНИЧКА</t>
  </si>
  <si>
    <t>2269/1</t>
  </si>
  <si>
    <t>ЛЕЊИНОВА</t>
  </si>
  <si>
    <t>2363</t>
  </si>
  <si>
    <t>БАШТОВАНСКА</t>
  </si>
  <si>
    <t>2411</t>
  </si>
  <si>
    <t>МИЛИСАВА ДАКИЋА</t>
  </si>
  <si>
    <t>СТАНИШИЋ</t>
  </si>
  <si>
    <t>3447</t>
  </si>
  <si>
    <t>184</t>
  </si>
  <si>
    <t>СЕЛО</t>
  </si>
  <si>
    <t>512</t>
  </si>
  <si>
    <t>ДУНАВСКА</t>
  </si>
  <si>
    <t>683</t>
  </si>
  <si>
    <t>694/1</t>
  </si>
  <si>
    <t>695</t>
  </si>
  <si>
    <t>КАРАЂОРЂЕВА</t>
  </si>
  <si>
    <t>696</t>
  </si>
  <si>
    <t>752/2</t>
  </si>
  <si>
    <t>756/3</t>
  </si>
  <si>
    <t>769/2</t>
  </si>
  <si>
    <t>770/2</t>
  </si>
  <si>
    <t>856/2</t>
  </si>
  <si>
    <t>ТРСТИК-МОЧВАРА 3.класе</t>
  </si>
  <si>
    <t>1254</t>
  </si>
  <si>
    <t>1268</t>
  </si>
  <si>
    <t>1277</t>
  </si>
  <si>
    <t>ДОБРОВОЉАЧКА</t>
  </si>
  <si>
    <t>2092</t>
  </si>
  <si>
    <t>2097</t>
  </si>
  <si>
    <t>МАРКА КРАЉЕВИЋА</t>
  </si>
  <si>
    <t>2118/1</t>
  </si>
  <si>
    <t>2118/4</t>
  </si>
  <si>
    <t>2126</t>
  </si>
  <si>
    <t>2830</t>
  </si>
  <si>
    <t>КОСОВСКА</t>
  </si>
  <si>
    <t>СВЕТОЗАР МИЛЕТИЋ</t>
  </si>
  <si>
    <t>2757</t>
  </si>
  <si>
    <t>44</t>
  </si>
  <si>
    <t>45</t>
  </si>
  <si>
    <t>ПАШЊАК 1.класе</t>
  </si>
  <si>
    <t>КУПАЛИШНА</t>
  </si>
  <si>
    <t>375</t>
  </si>
  <si>
    <t>758</t>
  </si>
  <si>
    <t>767</t>
  </si>
  <si>
    <t>776/2</t>
  </si>
  <si>
    <t>827</t>
  </si>
  <si>
    <t>ПАШЊАК 2.класе</t>
  </si>
  <si>
    <t>872</t>
  </si>
  <si>
    <t>СОМБОРСКА</t>
  </si>
  <si>
    <t>ТЕЛЕЧКА</t>
  </si>
  <si>
    <t>2327</t>
  </si>
  <si>
    <t>351</t>
  </si>
  <si>
    <t>1131</t>
  </si>
  <si>
    <t>1133</t>
  </si>
  <si>
    <t>1473</t>
  </si>
  <si>
    <t>1481</t>
  </si>
  <si>
    <t>РИЂИЦА</t>
  </si>
  <si>
    <t>537</t>
  </si>
  <si>
    <t>17</t>
  </si>
  <si>
    <t>ВИНОГРАД 2.класе</t>
  </si>
  <si>
    <t>РИЂИЧКА</t>
  </si>
  <si>
    <t>18</t>
  </si>
  <si>
    <t>19</t>
  </si>
  <si>
    <t>21/2</t>
  </si>
  <si>
    <t>33/2</t>
  </si>
  <si>
    <t>34</t>
  </si>
  <si>
    <t>43/2</t>
  </si>
  <si>
    <t>46/2</t>
  </si>
  <si>
    <t>49/2</t>
  </si>
  <si>
    <t>51/2</t>
  </si>
  <si>
    <t>52</t>
  </si>
  <si>
    <t>КНИНСКА</t>
  </si>
  <si>
    <t>55/2</t>
  </si>
  <si>
    <t>58/2</t>
  </si>
  <si>
    <t>191</t>
  </si>
  <si>
    <t>241/2</t>
  </si>
  <si>
    <t>242/2</t>
  </si>
  <si>
    <t>278</t>
  </si>
  <si>
    <t>279</t>
  </si>
  <si>
    <t>280/2</t>
  </si>
  <si>
    <t>281/2</t>
  </si>
  <si>
    <t>284</t>
  </si>
  <si>
    <t>287</t>
  </si>
  <si>
    <t>290</t>
  </si>
  <si>
    <t>293</t>
  </si>
  <si>
    <t>364</t>
  </si>
  <si>
    <t>716</t>
  </si>
  <si>
    <t>БУКОВАЧКА</t>
  </si>
  <si>
    <t>717/1</t>
  </si>
  <si>
    <t>880</t>
  </si>
  <si>
    <t>СТЕВАНА СИНЂЕЛИЋА</t>
  </si>
  <si>
    <t>892</t>
  </si>
  <si>
    <t>1197</t>
  </si>
  <si>
    <t>1454/1</t>
  </si>
  <si>
    <t>НЕПЛОДНЕ ПОВРШИНЕ ЗЕМЉИШТА</t>
  </si>
  <si>
    <t>МАСАРИКОВА</t>
  </si>
  <si>
    <t>1454/2</t>
  </si>
  <si>
    <t>1454/3</t>
  </si>
  <si>
    <t>1694</t>
  </si>
  <si>
    <t>1700</t>
  </si>
  <si>
    <t>1702/2</t>
  </si>
  <si>
    <t>1714</t>
  </si>
  <si>
    <t>БЕЗДАН</t>
  </si>
  <si>
    <t>3362</t>
  </si>
  <si>
    <t>360</t>
  </si>
  <si>
    <t>1058</t>
  </si>
  <si>
    <t>РОДИНА</t>
  </si>
  <si>
    <t>3060/1</t>
  </si>
  <si>
    <t>3061</t>
  </si>
  <si>
    <t>3066</t>
  </si>
  <si>
    <t>3073</t>
  </si>
  <si>
    <t>ЧОНОПЉА</t>
  </si>
  <si>
    <t>1377</t>
  </si>
  <si>
    <t>200</t>
  </si>
  <si>
    <t>203</t>
  </si>
  <si>
    <t>204</t>
  </si>
  <si>
    <t>792/1</t>
  </si>
  <si>
    <t>СВЕТОЗАРА МИЛЕТИЋА</t>
  </si>
  <si>
    <t>792/2</t>
  </si>
  <si>
    <t>792/3</t>
  </si>
  <si>
    <t>793/1</t>
  </si>
  <si>
    <t>855/1</t>
  </si>
  <si>
    <t>855/2</t>
  </si>
  <si>
    <t>856/1</t>
  </si>
  <si>
    <t>858</t>
  </si>
  <si>
    <t>859/3</t>
  </si>
  <si>
    <t>859/4</t>
  </si>
  <si>
    <t>863/1</t>
  </si>
  <si>
    <t>1782</t>
  </si>
  <si>
    <t>1862</t>
  </si>
  <si>
    <t>ИЛИЈЕ БИРЧАНИНА</t>
  </si>
  <si>
    <t>1863</t>
  </si>
  <si>
    <t>СОМБОР-2</t>
  </si>
  <si>
    <t>7154</t>
  </si>
  <si>
    <t>12638</t>
  </si>
  <si>
    <t>ОБЗИР-ПАВЛОВИЋ</t>
  </si>
  <si>
    <t>8531</t>
  </si>
  <si>
    <t>13210</t>
  </si>
  <si>
    <t>БИЛИЋ НАСЕЉЕ</t>
  </si>
  <si>
    <t>8902</t>
  </si>
  <si>
    <t>10453/2</t>
  </si>
  <si>
    <t>СУБОТИЧКИ ПУТ</t>
  </si>
  <si>
    <t>10520</t>
  </si>
  <si>
    <t>10521</t>
  </si>
  <si>
    <t>10540</t>
  </si>
  <si>
    <t>БОШКА ВРЕБАЛОВА34</t>
  </si>
  <si>
    <t>10541</t>
  </si>
  <si>
    <t>БОШКА ВРЕБАЛОВА32</t>
  </si>
  <si>
    <t>10542</t>
  </si>
  <si>
    <t>БОШКА ВРЕБАЛОВА30</t>
  </si>
  <si>
    <t>10543</t>
  </si>
  <si>
    <t>БОШКА ВРЕБАЛОВА28</t>
  </si>
  <si>
    <t>10544</t>
  </si>
  <si>
    <t>БОШКА ВРЕБАЛОВА26</t>
  </si>
  <si>
    <t>10545</t>
  </si>
  <si>
    <t>БОШКА ВРЕБАЛОВА24</t>
  </si>
  <si>
    <t>10546</t>
  </si>
  <si>
    <t>БОШКА ВРЕБАЛОВА</t>
  </si>
  <si>
    <t>10547</t>
  </si>
  <si>
    <t>БОШКА ВРЕБАЛОВА22</t>
  </si>
  <si>
    <t>10548</t>
  </si>
  <si>
    <t>БОШКА ВРЕБАЛОВА20</t>
  </si>
  <si>
    <t>10558</t>
  </si>
  <si>
    <t>10559</t>
  </si>
  <si>
    <t>10560</t>
  </si>
  <si>
    <t>10561</t>
  </si>
  <si>
    <t>10562</t>
  </si>
  <si>
    <t>10563</t>
  </si>
  <si>
    <t>10564</t>
  </si>
  <si>
    <t>10590/1</t>
  </si>
  <si>
    <t>БОШКА ВРЕБАЛОВА57</t>
  </si>
  <si>
    <t>10590/2</t>
  </si>
  <si>
    <t>БОШКА ВРЕБАЛОВА55</t>
  </si>
  <si>
    <t>10590/3</t>
  </si>
  <si>
    <t>БОШКА ВРЕБАЛОВА53</t>
  </si>
  <si>
    <t>10590/4</t>
  </si>
  <si>
    <t>БОШКА ВРЕБАЛОВА51</t>
  </si>
  <si>
    <t>10590/5</t>
  </si>
  <si>
    <t>СТАРИНЕ НОВАКА</t>
  </si>
  <si>
    <t>10594</t>
  </si>
  <si>
    <t>10595</t>
  </si>
  <si>
    <t>БОШКА ВРЕБАЛОВА49</t>
  </si>
  <si>
    <t>10963/1</t>
  </si>
  <si>
    <t>7.КРАЈИШКЕ БРИГАДЕ34</t>
  </si>
  <si>
    <t>10963/2</t>
  </si>
  <si>
    <t>10963/3</t>
  </si>
  <si>
    <t>7.КРАЈИШКЕ БРИГАДЕ32</t>
  </si>
  <si>
    <t>10968</t>
  </si>
  <si>
    <t>10969</t>
  </si>
  <si>
    <t>10970</t>
  </si>
  <si>
    <t>10971</t>
  </si>
  <si>
    <t>10976</t>
  </si>
  <si>
    <t>10977</t>
  </si>
  <si>
    <t>10987</t>
  </si>
  <si>
    <t>10988</t>
  </si>
  <si>
    <t>БОШКА ВРЕБАЛОВА86</t>
  </si>
  <si>
    <t>10989</t>
  </si>
  <si>
    <t>БОШКА ВРЕБАЛОВА84</t>
  </si>
  <si>
    <t>10990</t>
  </si>
  <si>
    <t>10991</t>
  </si>
  <si>
    <t>БОШКА ВРЕБАЛОВА82</t>
  </si>
  <si>
    <t>10992</t>
  </si>
  <si>
    <t>БОШКА ВРЕБАЛОВА80</t>
  </si>
  <si>
    <t>11004</t>
  </si>
  <si>
    <t>11005</t>
  </si>
  <si>
    <t>11006</t>
  </si>
  <si>
    <t>11007</t>
  </si>
  <si>
    <t>11008</t>
  </si>
  <si>
    <t>11009</t>
  </si>
  <si>
    <t>11010</t>
  </si>
  <si>
    <t>11011</t>
  </si>
  <si>
    <t>11012</t>
  </si>
  <si>
    <t>11013</t>
  </si>
  <si>
    <t>БОШКА ВРЕБАЛОВА60</t>
  </si>
  <si>
    <t>11014</t>
  </si>
  <si>
    <t>11015</t>
  </si>
  <si>
    <t>БОШКА ВРЕБАЛОВА62</t>
  </si>
  <si>
    <t>11016</t>
  </si>
  <si>
    <t>БОШКА ВРЕБАЛОВА64</t>
  </si>
  <si>
    <t>11017</t>
  </si>
  <si>
    <t>БОШКА ВРЕБАЛОВА66</t>
  </si>
  <si>
    <t>11018</t>
  </si>
  <si>
    <t>БОШКА ВРЕБАЛОВА68</t>
  </si>
  <si>
    <t>11019</t>
  </si>
  <si>
    <t>11020</t>
  </si>
  <si>
    <t>7.КРАЈИШКЕ БРИГАДЕ23</t>
  </si>
  <si>
    <t>11021</t>
  </si>
  <si>
    <t>7.КРАЈИШКЕ БРИГАДЕ</t>
  </si>
  <si>
    <t>11034</t>
  </si>
  <si>
    <t>11036</t>
  </si>
  <si>
    <t>БОШКА ВРЕБАЛОВА61</t>
  </si>
  <si>
    <t>11037</t>
  </si>
  <si>
    <t>БОШКА ВРЕБАЛОВА63</t>
  </si>
  <si>
    <t>11038</t>
  </si>
  <si>
    <t>11039</t>
  </si>
  <si>
    <t>БОШКА ВРЕБАЛОВА65</t>
  </si>
  <si>
    <t>11040</t>
  </si>
  <si>
    <t>БОШКА ВРЕБАЛОВА67</t>
  </si>
  <si>
    <t>11041</t>
  </si>
  <si>
    <t>11059</t>
  </si>
  <si>
    <t>СРЕМСКОГ ФРОНТА</t>
  </si>
  <si>
    <t>11061</t>
  </si>
  <si>
    <t>11062</t>
  </si>
  <si>
    <t>11063</t>
  </si>
  <si>
    <t>11064</t>
  </si>
  <si>
    <t>11071</t>
  </si>
  <si>
    <t>11072</t>
  </si>
  <si>
    <t>11193/13</t>
  </si>
  <si>
    <t>_СЛАВКА РАДАНОВА НОВА-179</t>
  </si>
  <si>
    <t>11193/14</t>
  </si>
  <si>
    <t>_СЛАВКА РАДАНОВА НОВА-175</t>
  </si>
  <si>
    <t>11193/18</t>
  </si>
  <si>
    <t>_СЛАВКА РАДАНОВА НОВА-177</t>
  </si>
  <si>
    <t>11193/19</t>
  </si>
  <si>
    <t>_СЛАВКА РАДАНОВА НОВА-1711</t>
  </si>
  <si>
    <t>11284</t>
  </si>
  <si>
    <t>11286</t>
  </si>
  <si>
    <t>11290</t>
  </si>
  <si>
    <t>11482</t>
  </si>
  <si>
    <t>БАЛКАНСКА</t>
  </si>
  <si>
    <t>11529</t>
  </si>
  <si>
    <t>11547</t>
  </si>
  <si>
    <t>11551</t>
  </si>
  <si>
    <t>11552</t>
  </si>
  <si>
    <t>11563</t>
  </si>
  <si>
    <t>12220</t>
  </si>
  <si>
    <t>РАНЧЕВО НАСЕЉЕ</t>
  </si>
  <si>
    <t>15390/1</t>
  </si>
  <si>
    <t>_НЕНАДИЋ САЛАШИ НОВА-9</t>
  </si>
  <si>
    <t>15391</t>
  </si>
  <si>
    <t>18959</t>
  </si>
  <si>
    <t>ЈАРОШ НАСЕЉЕ</t>
  </si>
  <si>
    <t>20145</t>
  </si>
  <si>
    <t>ШИКАРА НАСЕЉЕ</t>
  </si>
  <si>
    <t>20146</t>
  </si>
  <si>
    <t>20147</t>
  </si>
  <si>
    <t>20167</t>
  </si>
  <si>
    <t>21236</t>
  </si>
  <si>
    <t>ЛЕНИЈА НАСЕЉЕ</t>
  </si>
  <si>
    <t>21295</t>
  </si>
  <si>
    <t>21303</t>
  </si>
  <si>
    <t>23719</t>
  </si>
  <si>
    <t>ВОЋЊАК 1.класе</t>
  </si>
  <si>
    <t>БУКОВАЦ НАСЕЉЕ</t>
  </si>
  <si>
    <t>23741/1</t>
  </si>
  <si>
    <t>ЦЕНТРАЛА НАСЕЉЕ</t>
  </si>
  <si>
    <t>23741/2</t>
  </si>
  <si>
    <t>23741/3</t>
  </si>
  <si>
    <t>23741/4</t>
  </si>
  <si>
    <t>23741/5</t>
  </si>
  <si>
    <t>23749</t>
  </si>
  <si>
    <t>23752</t>
  </si>
  <si>
    <t>23753/1</t>
  </si>
  <si>
    <t>23753/3</t>
  </si>
  <si>
    <t>23753/4</t>
  </si>
  <si>
    <t>23753/5</t>
  </si>
  <si>
    <t>23757/1</t>
  </si>
  <si>
    <t>23757/2</t>
  </si>
  <si>
    <t>23757/3</t>
  </si>
  <si>
    <t>23757/4</t>
  </si>
  <si>
    <t>23757/5</t>
  </si>
  <si>
    <t>10488</t>
  </si>
  <si>
    <t>Л.ВУКИЧЕВИЋА</t>
  </si>
  <si>
    <t>10513</t>
  </si>
  <si>
    <t>10514</t>
  </si>
  <si>
    <t>БОШКА ВРЕБАЛОВА4</t>
  </si>
  <si>
    <t>10515</t>
  </si>
  <si>
    <t>БОШКА ВРЕБАЛОВА6</t>
  </si>
  <si>
    <t>10516</t>
  </si>
  <si>
    <t>БОШКА ВРЕБАЛОВА8</t>
  </si>
  <si>
    <t>10517</t>
  </si>
  <si>
    <t>БОШКА ВРЕБАЛОВА10</t>
  </si>
  <si>
    <t>11597/2</t>
  </si>
  <si>
    <t>_СРЕМСКОГ ФРОНТА НОВА-18</t>
  </si>
  <si>
    <t>14593</t>
  </si>
  <si>
    <t>БЕЗДАНСКИ ПУТ</t>
  </si>
  <si>
    <t>16718/2</t>
  </si>
  <si>
    <t>МИЛЧИЋ НАСЕЉЕ</t>
  </si>
  <si>
    <t>16719</t>
  </si>
  <si>
    <t>19117/15</t>
  </si>
  <si>
    <t>21235</t>
  </si>
  <si>
    <t>21929</t>
  </si>
  <si>
    <t>ТРЕПЧА НАСЕЉЕ</t>
  </si>
  <si>
    <t>22411</t>
  </si>
  <si>
    <t>ГРАДИНА НАСЕЉЕ</t>
  </si>
  <si>
    <t>23756/1</t>
  </si>
  <si>
    <t>23756/2</t>
  </si>
  <si>
    <t>23756/3</t>
  </si>
  <si>
    <t>23756/4</t>
  </si>
  <si>
    <t>СОМБОР-1</t>
  </si>
  <si>
    <t>554</t>
  </si>
  <si>
    <t>2618/1</t>
  </si>
  <si>
    <t>2618/2</t>
  </si>
  <si>
    <t>2620</t>
  </si>
  <si>
    <t>2622</t>
  </si>
  <si>
    <t>2625/1</t>
  </si>
  <si>
    <t>2625/2</t>
  </si>
  <si>
    <t>2625/3</t>
  </si>
  <si>
    <t>2626/1</t>
  </si>
  <si>
    <t>2626/2</t>
  </si>
  <si>
    <t>2627</t>
  </si>
  <si>
    <t>2629</t>
  </si>
  <si>
    <t>2630</t>
  </si>
  <si>
    <t>2631/1</t>
  </si>
  <si>
    <t>9481/2</t>
  </si>
  <si>
    <t>СТАПАРСКИ ПУТ</t>
  </si>
  <si>
    <t>7</t>
  </si>
  <si>
    <t>9481/3</t>
  </si>
  <si>
    <t>9485</t>
  </si>
  <si>
    <t>2948</t>
  </si>
  <si>
    <t>8860</t>
  </si>
  <si>
    <t>АПАТИНСКИ ПУТ</t>
  </si>
  <si>
    <t>3335</t>
  </si>
  <si>
    <t>141/49</t>
  </si>
  <si>
    <t>ЈОСИПА МАРИНКОВИЋА</t>
  </si>
  <si>
    <t>3060/7</t>
  </si>
  <si>
    <t>ЈОСИЋКО</t>
  </si>
  <si>
    <t>3060/8</t>
  </si>
  <si>
    <t>3088/1</t>
  </si>
  <si>
    <t>ДИНАРСКА</t>
  </si>
  <si>
    <t>3088/4</t>
  </si>
  <si>
    <t>3088/2</t>
  </si>
  <si>
    <t>3168/3</t>
  </si>
  <si>
    <t>ЈОСИЋКИ ПУТ</t>
  </si>
  <si>
    <t>3168/5</t>
  </si>
  <si>
    <t>3168/6</t>
  </si>
  <si>
    <t>3168/7</t>
  </si>
  <si>
    <t>3168/8</t>
  </si>
  <si>
    <t>3168/9</t>
  </si>
  <si>
    <t>3168/10</t>
  </si>
  <si>
    <t>3168/11</t>
  </si>
  <si>
    <t>3168/12</t>
  </si>
  <si>
    <t>3168/13</t>
  </si>
  <si>
    <t>3168/14</t>
  </si>
  <si>
    <t>3168/15</t>
  </si>
  <si>
    <t>3168/16</t>
  </si>
  <si>
    <t>3168/17</t>
  </si>
  <si>
    <t>3168/18</t>
  </si>
  <si>
    <t>3168/19</t>
  </si>
  <si>
    <t>3168/20</t>
  </si>
  <si>
    <t>3168/21</t>
  </si>
  <si>
    <t>3168/22</t>
  </si>
  <si>
    <t>3168/23</t>
  </si>
  <si>
    <t>3168/24</t>
  </si>
  <si>
    <t>3168/25</t>
  </si>
  <si>
    <t>3168/26</t>
  </si>
  <si>
    <t>3168/27</t>
  </si>
  <si>
    <t>3168/28</t>
  </si>
  <si>
    <t>3168/29</t>
  </si>
  <si>
    <t>3168/30</t>
  </si>
  <si>
    <t>3168/32</t>
  </si>
  <si>
    <t>3168/33</t>
  </si>
  <si>
    <t>3169/3</t>
  </si>
  <si>
    <t>3169/4</t>
  </si>
  <si>
    <t>3169/5</t>
  </si>
  <si>
    <t>3169/6</t>
  </si>
  <si>
    <t>3169/7</t>
  </si>
  <si>
    <t>3169/8</t>
  </si>
  <si>
    <t>3169/9</t>
  </si>
  <si>
    <t>3169/10</t>
  </si>
  <si>
    <t>3169/11</t>
  </si>
  <si>
    <t>3169/12</t>
  </si>
  <si>
    <t>3169/13</t>
  </si>
  <si>
    <t>4851</t>
  </si>
  <si>
    <t>ИЗА ПАРТИЗАНСКОГ ГРОБЉА</t>
  </si>
  <si>
    <t>4873/5</t>
  </si>
  <si>
    <t>ИСТОЧНА ГРАДИНА</t>
  </si>
  <si>
    <t>4873/6</t>
  </si>
  <si>
    <t>4873/7</t>
  </si>
  <si>
    <t>4873/8</t>
  </si>
  <si>
    <t>ФИЛИПА КЉАЈИЋА</t>
  </si>
  <si>
    <t>4873/9</t>
  </si>
  <si>
    <t>4875/5</t>
  </si>
  <si>
    <t>_ИСТОЧНА ГРАДИНА НОВА-4</t>
  </si>
  <si>
    <t>4875/35</t>
  </si>
  <si>
    <t>4875/36</t>
  </si>
  <si>
    <t>4875/41</t>
  </si>
  <si>
    <t>4875/47</t>
  </si>
  <si>
    <t>4875/48</t>
  </si>
  <si>
    <t>4875/49</t>
  </si>
  <si>
    <t>4875/50</t>
  </si>
  <si>
    <t>4875/52</t>
  </si>
  <si>
    <t>4875/54</t>
  </si>
  <si>
    <t>4875/55</t>
  </si>
  <si>
    <t>4875/56</t>
  </si>
  <si>
    <t>4875/62</t>
  </si>
  <si>
    <t>4875/67</t>
  </si>
  <si>
    <t>4875/68</t>
  </si>
  <si>
    <t>4875/72</t>
  </si>
  <si>
    <t>4875/73</t>
  </si>
  <si>
    <t>4875/76</t>
  </si>
  <si>
    <t>4875/81</t>
  </si>
  <si>
    <t>4875/87</t>
  </si>
  <si>
    <t>4875/96</t>
  </si>
  <si>
    <t>4875/105</t>
  </si>
  <si>
    <t>УРОША ПРЕДИЋА</t>
  </si>
  <si>
    <t>6371/8</t>
  </si>
  <si>
    <t>ГЕОРГИ ДИМИТРОВА</t>
  </si>
  <si>
    <t>6427/4</t>
  </si>
  <si>
    <t>ИВАНА АНТУНОВИЋА</t>
  </si>
  <si>
    <t>6512/2</t>
  </si>
  <si>
    <t>6512/3</t>
  </si>
  <si>
    <t>6515/2</t>
  </si>
  <si>
    <t>6515/3</t>
  </si>
  <si>
    <t>6516/1</t>
  </si>
  <si>
    <t>6516/2</t>
  </si>
  <si>
    <t>6516/3</t>
  </si>
  <si>
    <t>6516/4</t>
  </si>
  <si>
    <t>6528/4</t>
  </si>
  <si>
    <t>6529/2</t>
  </si>
  <si>
    <t>6529/4</t>
  </si>
  <si>
    <t>6530/2</t>
  </si>
  <si>
    <t>6538/2</t>
  </si>
  <si>
    <t>6539</t>
  </si>
  <si>
    <t>6540/1</t>
  </si>
  <si>
    <t>6540/3</t>
  </si>
  <si>
    <t>6540/5</t>
  </si>
  <si>
    <t>6540/6</t>
  </si>
  <si>
    <t>6540/7</t>
  </si>
  <si>
    <t>6543/3</t>
  </si>
  <si>
    <t>6543/4</t>
  </si>
  <si>
    <t>6543/5</t>
  </si>
  <si>
    <t>6543/6</t>
  </si>
  <si>
    <t>6568/1</t>
  </si>
  <si>
    <t>6570/3</t>
  </si>
  <si>
    <t>6570/4</t>
  </si>
  <si>
    <t>6627/1</t>
  </si>
  <si>
    <t>7931/5</t>
  </si>
  <si>
    <t>СИВАЧКИ ПУТ</t>
  </si>
  <si>
    <t>9108/18</t>
  </si>
  <si>
    <t>ВУКИЦЕ МИТРОВИЋ</t>
  </si>
  <si>
    <t>9356/2</t>
  </si>
  <si>
    <t>ИНДУСТРИЈСКА ЗОНА СОМБОР</t>
  </si>
  <si>
    <t>9393/1</t>
  </si>
  <si>
    <t>9405/4</t>
  </si>
  <si>
    <t>9405/6</t>
  </si>
  <si>
    <t>9405/8</t>
  </si>
  <si>
    <t>9406/4</t>
  </si>
  <si>
    <t>9504/6</t>
  </si>
  <si>
    <t>РОКОВАЧКИ ПУТ</t>
  </si>
  <si>
    <t>9504/7</t>
  </si>
  <si>
    <t>9567/6</t>
  </si>
  <si>
    <t>РОКОВЦИ</t>
  </si>
  <si>
    <t>9567/8</t>
  </si>
  <si>
    <t>9567/9</t>
  </si>
  <si>
    <t>9567/10</t>
  </si>
  <si>
    <t>9571/1</t>
  </si>
  <si>
    <t>НЕЗНАНОГ ЈУНАКА</t>
  </si>
  <si>
    <t>9571/2</t>
  </si>
  <si>
    <t>9571/3</t>
  </si>
  <si>
    <t>9571/4</t>
  </si>
  <si>
    <t>9571/5</t>
  </si>
  <si>
    <t>9834/2</t>
  </si>
  <si>
    <t>10311</t>
  </si>
  <si>
    <t>603/2</t>
  </si>
  <si>
    <t>ВОЈИСЛАВА БАКИЋА</t>
  </si>
  <si>
    <t>7921/2</t>
  </si>
  <si>
    <t>7927/1</t>
  </si>
  <si>
    <t>7927/2</t>
  </si>
  <si>
    <t>7927/4</t>
  </si>
  <si>
    <t>7927/5</t>
  </si>
  <si>
    <t>7927/7</t>
  </si>
  <si>
    <t>7937/1</t>
  </si>
  <si>
    <t>7937/2</t>
  </si>
  <si>
    <t>7961/2</t>
  </si>
  <si>
    <t>7961/8</t>
  </si>
  <si>
    <t>8730/1</t>
  </si>
  <si>
    <t>8730/3</t>
  </si>
  <si>
    <t>8730/4</t>
  </si>
  <si>
    <t>8738/2</t>
  </si>
  <si>
    <t>8739/2</t>
  </si>
  <si>
    <t>8741</t>
  </si>
  <si>
    <t>М.ЦРЊАНСКОГ</t>
  </si>
  <si>
    <t>8756/8</t>
  </si>
  <si>
    <t>8756/10</t>
  </si>
  <si>
    <t>8756/11</t>
  </si>
  <si>
    <t>8756/12</t>
  </si>
  <si>
    <t>8756/13</t>
  </si>
  <si>
    <t>8761/2</t>
  </si>
  <si>
    <t>8761/3</t>
  </si>
  <si>
    <t>8766/1</t>
  </si>
  <si>
    <t>8766/3</t>
  </si>
  <si>
    <t>8766/4</t>
  </si>
  <si>
    <t>8769/2</t>
  </si>
  <si>
    <t>8769/3</t>
  </si>
  <si>
    <t>8789/3</t>
  </si>
  <si>
    <t>8791/6</t>
  </si>
  <si>
    <t>8792/2</t>
  </si>
  <si>
    <t>8792/3</t>
  </si>
  <si>
    <t>8794/3</t>
  </si>
  <si>
    <t>8794/5</t>
  </si>
  <si>
    <t>8892/1</t>
  </si>
  <si>
    <t>8892/2</t>
  </si>
  <si>
    <t>8909</t>
  </si>
  <si>
    <t>8910</t>
  </si>
  <si>
    <t>9095/1</t>
  </si>
  <si>
    <t>9095/2</t>
  </si>
  <si>
    <t>9095/4</t>
  </si>
  <si>
    <t>9095/5</t>
  </si>
  <si>
    <t>9095/6</t>
  </si>
  <si>
    <t>9095/7</t>
  </si>
  <si>
    <t>9097/1</t>
  </si>
  <si>
    <t>9325/2</t>
  </si>
  <si>
    <t>9332/2</t>
  </si>
  <si>
    <t>9360/1</t>
  </si>
  <si>
    <t>9378/1</t>
  </si>
  <si>
    <t>9378/2</t>
  </si>
  <si>
    <t>9378/3</t>
  </si>
  <si>
    <t>9379/1</t>
  </si>
  <si>
    <t>9379/2</t>
  </si>
  <si>
    <t>9380/1</t>
  </si>
  <si>
    <t>9380/2</t>
  </si>
  <si>
    <t>9390/1</t>
  </si>
  <si>
    <t>9390/2</t>
  </si>
  <si>
    <t>9393/4</t>
  </si>
  <si>
    <t>9393/8</t>
  </si>
  <si>
    <t>СТАПАР</t>
  </si>
  <si>
    <t>1450</t>
  </si>
  <si>
    <t>КАРАЂОРЂЕВ ПЛАЦ</t>
  </si>
  <si>
    <t>1590</t>
  </si>
  <si>
    <t>2821</t>
  </si>
  <si>
    <t>1325</t>
  </si>
  <si>
    <t>СВ.МИЛЕТИЋА</t>
  </si>
  <si>
    <t>1808/2</t>
  </si>
  <si>
    <t>2449/19</t>
  </si>
  <si>
    <t>БАЧКИ БРЕГ</t>
  </si>
  <si>
    <t>1502</t>
  </si>
  <si>
    <t>358/2</t>
  </si>
  <si>
    <t>855</t>
  </si>
  <si>
    <t>ЈУГОСЛОВЕНСКА</t>
  </si>
  <si>
    <t>858/2</t>
  </si>
  <si>
    <t>864/2</t>
  </si>
  <si>
    <t>866/2</t>
  </si>
  <si>
    <t>867/2</t>
  </si>
  <si>
    <t>887</t>
  </si>
  <si>
    <t>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</si>
</sst>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11"/>
      <name val="Calibri"/>
      <family val="2"/>
      <scheme val="minor"/>
    </font>
    <font>
      <b/>
      <sz val="8"/>
      <color theme="1"/>
      <name val="Times New Roman"/>
      <family val="1"/>
    </font>
    <font>
      <sz val="11"/>
      <name val="Calibri"/>
      <family val="2"/>
      <scheme val="minor"/>
    </font>
    <font>
      <b/>
      <sz val="8"/>
      <name val="Times New Roman"/>
      <family val="1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/>
    <xf numFmtId="49" fontId="2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ill="1" applyBorder="1" applyAlignment="1"/>
    <xf numFmtId="4" fontId="0" fillId="0" borderId="4" xfId="0" applyNumberFormat="1" applyFill="1" applyBorder="1"/>
    <xf numFmtId="1" fontId="4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/>
    <xf numFmtId="4" fontId="1" fillId="0" borderId="6" xfId="0" applyNumberFormat="1" applyFont="1" applyFill="1" applyBorder="1"/>
    <xf numFmtId="4" fontId="0" fillId="0" borderId="6" xfId="0" applyNumberFormat="1" applyFill="1" applyBorder="1"/>
    <xf numFmtId="0" fontId="0" fillId="0" borderId="0" xfId="0" applyFill="1"/>
    <xf numFmtId="0" fontId="5" fillId="0" borderId="5" xfId="0" applyFont="1" applyFill="1" applyBorder="1" applyAlignment="1">
      <alignment horizontal="center" vertical="center" wrapText="1"/>
    </xf>
    <xf numFmtId="4" fontId="1" fillId="0" borderId="6" xfId="0" applyNumberFormat="1" applyFont="1" applyBorder="1"/>
    <xf numFmtId="4" fontId="0" fillId="0" borderId="4" xfId="0" applyNumberFormat="1" applyBorder="1"/>
    <xf numFmtId="4" fontId="0" fillId="0" borderId="6" xfId="0" applyNumberFormat="1" applyBorder="1"/>
    <xf numFmtId="4" fontId="1" fillId="0" borderId="4" xfId="0" applyNumberFormat="1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/>
    <xf numFmtId="0" fontId="3" fillId="0" borderId="6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/>
    <xf numFmtId="4" fontId="6" fillId="0" borderId="4" xfId="0" applyNumberFormat="1" applyFont="1" applyFill="1" applyBorder="1"/>
    <xf numFmtId="4" fontId="0" fillId="0" borderId="11" xfId="0" applyNumberFormat="1" applyFill="1" applyBorder="1" applyAlignment="1"/>
    <xf numFmtId="4" fontId="0" fillId="0" borderId="7" xfId="0" applyNumberFormat="1" applyFill="1" applyBorder="1" applyAlignment="1"/>
    <xf numFmtId="4" fontId="0" fillId="0" borderId="12" xfId="0" applyNumberFormat="1" applyFill="1" applyBorder="1" applyAlignment="1"/>
    <xf numFmtId="4" fontId="1" fillId="0" borderId="10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4" fontId="6" fillId="0" borderId="6" xfId="0" applyNumberFormat="1" applyFont="1" applyBorder="1"/>
    <xf numFmtId="4" fontId="6" fillId="0" borderId="4" xfId="0" applyNumberFormat="1" applyFont="1" applyBorder="1"/>
    <xf numFmtId="0" fontId="5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Border="1"/>
    <xf numFmtId="1" fontId="2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9" fillId="0" borderId="13" xfId="0" applyFont="1" applyFill="1" applyBorder="1" applyAlignment="1">
      <alignment horizontal="center"/>
    </xf>
    <xf numFmtId="4" fontId="10" fillId="0" borderId="4" xfId="0" applyNumberFormat="1" applyFont="1" applyBorder="1"/>
    <xf numFmtId="4" fontId="10" fillId="0" borderId="6" xfId="0" applyNumberFormat="1" applyFont="1" applyBorder="1"/>
    <xf numFmtId="1" fontId="11" fillId="0" borderId="4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Border="1"/>
    <xf numFmtId="4" fontId="12" fillId="0" borderId="4" xfId="0" applyNumberFormat="1" applyFont="1" applyBorder="1"/>
    <xf numFmtId="49" fontId="3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Border="1"/>
    <xf numFmtId="4" fontId="0" fillId="0" borderId="3" xfId="0" applyNumberFormat="1" applyFill="1" applyBorder="1"/>
    <xf numFmtId="4" fontId="6" fillId="0" borderId="7" xfId="0" applyNumberFormat="1" applyFont="1" applyFill="1" applyBorder="1"/>
    <xf numFmtId="4" fontId="0" fillId="0" borderId="7" xfId="0" applyNumberFormat="1" applyBorder="1"/>
    <xf numFmtId="4" fontId="1" fillId="0" borderId="6" xfId="0" quotePrefix="1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1">
    <cellStyle name="Normalan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0"/>
  <sheetViews>
    <sheetView tabSelected="1" topLeftCell="A802" workbookViewId="0">
      <selection activeCell="K770" sqref="K770:K776"/>
    </sheetView>
  </sheetViews>
  <sheetFormatPr defaultRowHeight="15" x14ac:dyDescent="0.25"/>
  <cols>
    <col min="12" max="12" width="10.140625" bestFit="1" customWidth="1"/>
    <col min="13" max="13" width="12.7109375" customWidth="1"/>
  </cols>
  <sheetData>
    <row r="1" spans="1:13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3" t="s">
        <v>10</v>
      </c>
      <c r="L1" s="4" t="s">
        <v>11</v>
      </c>
      <c r="M1" s="4" t="s">
        <v>12</v>
      </c>
    </row>
    <row r="2" spans="1:13" ht="22.5" x14ac:dyDescent="0.25">
      <c r="A2" s="5" t="s">
        <v>13</v>
      </c>
      <c r="B2" s="6" t="s">
        <v>14</v>
      </c>
      <c r="C2" s="6" t="s">
        <v>15</v>
      </c>
      <c r="D2" s="6" t="s">
        <v>16</v>
      </c>
      <c r="E2" s="6" t="s">
        <v>3</v>
      </c>
      <c r="F2" s="6" t="s">
        <v>17</v>
      </c>
      <c r="G2" s="5" t="s">
        <v>18</v>
      </c>
      <c r="H2" s="6" t="s">
        <v>19</v>
      </c>
      <c r="I2" s="7">
        <v>17723</v>
      </c>
      <c r="J2" s="6" t="s">
        <v>20</v>
      </c>
      <c r="K2" s="8">
        <v>1</v>
      </c>
      <c r="L2" s="9">
        <f>1.7723*68.16*117.5809</f>
        <v>14203.768957411199</v>
      </c>
      <c r="M2" s="9">
        <f>L2*0.3</f>
        <v>4261.1306872233599</v>
      </c>
    </row>
    <row r="3" spans="1:13" ht="22.5" x14ac:dyDescent="0.25">
      <c r="A3" s="5" t="s">
        <v>13</v>
      </c>
      <c r="B3" s="6">
        <v>596</v>
      </c>
      <c r="C3" s="6" t="s">
        <v>15</v>
      </c>
      <c r="D3" s="6" t="s">
        <v>16</v>
      </c>
      <c r="E3" s="6" t="s">
        <v>3</v>
      </c>
      <c r="F3" s="6" t="s">
        <v>17</v>
      </c>
      <c r="G3" s="10" t="s">
        <v>21</v>
      </c>
      <c r="H3" s="6" t="s">
        <v>22</v>
      </c>
      <c r="I3" s="7">
        <v>1077</v>
      </c>
      <c r="J3" s="6" t="s">
        <v>20</v>
      </c>
      <c r="K3" s="60">
        <v>2</v>
      </c>
      <c r="L3" s="11">
        <f>0.1077*60.59*117.5809</f>
        <v>767.27921892870006</v>
      </c>
      <c r="M3" s="12">
        <f>L3*0.3</f>
        <v>230.18376567861</v>
      </c>
    </row>
    <row r="4" spans="1:13" ht="22.5" x14ac:dyDescent="0.25">
      <c r="A4" s="5" t="s">
        <v>13</v>
      </c>
      <c r="B4" s="6">
        <v>596</v>
      </c>
      <c r="C4" s="6" t="s">
        <v>15</v>
      </c>
      <c r="D4" s="6" t="s">
        <v>16</v>
      </c>
      <c r="E4" s="6" t="s">
        <v>3</v>
      </c>
      <c r="F4" s="6" t="s">
        <v>17</v>
      </c>
      <c r="G4" s="10" t="s">
        <v>23</v>
      </c>
      <c r="H4" s="6" t="s">
        <v>24</v>
      </c>
      <c r="I4" s="7">
        <v>4053</v>
      </c>
      <c r="J4" s="6" t="s">
        <v>20</v>
      </c>
      <c r="K4" s="61"/>
      <c r="L4" s="11">
        <f>0.4053*227.21*117.5809</f>
        <v>10827.8149639317</v>
      </c>
      <c r="M4" s="12">
        <f>L4*0.3</f>
        <v>3248.3444891795098</v>
      </c>
    </row>
    <row r="5" spans="1:13" x14ac:dyDescent="0.25">
      <c r="A5" s="5"/>
      <c r="B5" s="6"/>
      <c r="C5" s="6"/>
      <c r="D5" s="6"/>
      <c r="E5" s="6"/>
      <c r="F5" s="6"/>
      <c r="G5" s="5"/>
      <c r="H5" s="13" t="s">
        <v>25</v>
      </c>
      <c r="I5" s="7">
        <f>+SUM(I3:I4)</f>
        <v>5130</v>
      </c>
      <c r="J5" s="6"/>
      <c r="K5" s="62"/>
      <c r="L5" s="14">
        <f>SUM(L3:L4)</f>
        <v>11595.094182860399</v>
      </c>
      <c r="M5" s="9">
        <f>SUM(M3:M4)</f>
        <v>3478.5282548581199</v>
      </c>
    </row>
    <row r="6" spans="1:13" ht="22.5" x14ac:dyDescent="0.25">
      <c r="A6" s="5" t="s">
        <v>13</v>
      </c>
      <c r="B6" s="6" t="s">
        <v>14</v>
      </c>
      <c r="C6" s="6" t="s">
        <v>15</v>
      </c>
      <c r="D6" s="6" t="s">
        <v>16</v>
      </c>
      <c r="E6" s="6" t="s">
        <v>3</v>
      </c>
      <c r="F6" s="6" t="s">
        <v>17</v>
      </c>
      <c r="G6" s="5" t="s">
        <v>26</v>
      </c>
      <c r="H6" s="6" t="s">
        <v>24</v>
      </c>
      <c r="I6" s="7">
        <v>1340</v>
      </c>
      <c r="J6" s="6" t="s">
        <v>20</v>
      </c>
      <c r="K6" s="8">
        <v>3</v>
      </c>
      <c r="L6" s="15">
        <f>0.134*227.21*117.5809</f>
        <v>3579.8845427260003</v>
      </c>
      <c r="M6" s="15">
        <f>L6*0.3</f>
        <v>1073.9653628178</v>
      </c>
    </row>
    <row r="7" spans="1:13" ht="33.75" x14ac:dyDescent="0.25">
      <c r="A7" s="5" t="s">
        <v>13</v>
      </c>
      <c r="B7" s="6" t="s">
        <v>14</v>
      </c>
      <c r="C7" s="6" t="s">
        <v>15</v>
      </c>
      <c r="D7" s="6" t="s">
        <v>16</v>
      </c>
      <c r="E7" s="6" t="s">
        <v>3</v>
      </c>
      <c r="F7" s="6" t="s">
        <v>17</v>
      </c>
      <c r="G7" s="5" t="s">
        <v>27</v>
      </c>
      <c r="H7" s="6" t="s">
        <v>28</v>
      </c>
      <c r="I7" s="7">
        <v>391</v>
      </c>
      <c r="J7" s="6" t="s">
        <v>29</v>
      </c>
      <c r="K7" s="8">
        <v>4</v>
      </c>
      <c r="L7" s="9">
        <f>0.0391*255.26*117.5809</f>
        <v>1173.5356908794001</v>
      </c>
      <c r="M7" s="9">
        <f>L7*0.3</f>
        <v>352.06070726382001</v>
      </c>
    </row>
    <row r="8" spans="1:13" ht="22.5" x14ac:dyDescent="0.25">
      <c r="A8" s="5" t="s">
        <v>13</v>
      </c>
      <c r="B8" s="6" t="s">
        <v>14</v>
      </c>
      <c r="C8" s="6" t="s">
        <v>15</v>
      </c>
      <c r="D8" s="6" t="s">
        <v>16</v>
      </c>
      <c r="E8" s="6" t="s">
        <v>3</v>
      </c>
      <c r="F8" s="6" t="s">
        <v>17</v>
      </c>
      <c r="G8" s="5" t="s">
        <v>30</v>
      </c>
      <c r="H8" s="6" t="s">
        <v>28</v>
      </c>
      <c r="I8" s="7">
        <v>819</v>
      </c>
      <c r="J8" s="6" t="s">
        <v>20</v>
      </c>
      <c r="K8" s="8">
        <v>5</v>
      </c>
      <c r="L8" s="15">
        <f>0.0819*255.26*117.5809</f>
        <v>2458.1220737346002</v>
      </c>
      <c r="M8" s="15">
        <f>L8*0.3</f>
        <v>737.43662212038009</v>
      </c>
    </row>
    <row r="9" spans="1:13" ht="22.5" x14ac:dyDescent="0.25">
      <c r="A9" s="5" t="s">
        <v>13</v>
      </c>
      <c r="B9" s="6" t="s">
        <v>14</v>
      </c>
      <c r="C9" s="6" t="s">
        <v>15</v>
      </c>
      <c r="D9" s="6" t="s">
        <v>16</v>
      </c>
      <c r="E9" s="6" t="s">
        <v>3</v>
      </c>
      <c r="F9" s="6" t="s">
        <v>17</v>
      </c>
      <c r="G9" s="5" t="s">
        <v>31</v>
      </c>
      <c r="H9" s="6" t="s">
        <v>28</v>
      </c>
      <c r="I9" s="7">
        <v>300</v>
      </c>
      <c r="J9" s="6" t="s">
        <v>20</v>
      </c>
      <c r="K9" s="8">
        <v>6</v>
      </c>
      <c r="L9" s="9">
        <f>0.03*255.26*117.5809</f>
        <v>900.41101601999992</v>
      </c>
      <c r="M9" s="9">
        <f>L9*0.3</f>
        <v>270.12330480599996</v>
      </c>
    </row>
    <row r="10" spans="1:13" ht="22.5" x14ac:dyDescent="0.25">
      <c r="A10" s="5" t="s">
        <v>13</v>
      </c>
      <c r="B10" s="6" t="s">
        <v>14</v>
      </c>
      <c r="C10" s="6" t="s">
        <v>15</v>
      </c>
      <c r="D10" s="6" t="s">
        <v>16</v>
      </c>
      <c r="E10" s="6" t="s">
        <v>3</v>
      </c>
      <c r="F10" s="6" t="s">
        <v>17</v>
      </c>
      <c r="G10" s="5" t="s">
        <v>32</v>
      </c>
      <c r="H10" s="6" t="s">
        <v>24</v>
      </c>
      <c r="I10" s="7">
        <v>791</v>
      </c>
      <c r="J10" s="6" t="s">
        <v>33</v>
      </c>
      <c r="K10" s="71">
        <v>7</v>
      </c>
      <c r="L10" s="16">
        <f>0.0791*227.21*117.5809</f>
        <v>2113.2005024599002</v>
      </c>
      <c r="M10" s="16">
        <f>L10*0.3</f>
        <v>633.96015073797003</v>
      </c>
    </row>
    <row r="11" spans="1:13" ht="22.5" x14ac:dyDescent="0.25">
      <c r="A11" s="5" t="s">
        <v>13</v>
      </c>
      <c r="B11" s="6" t="s">
        <v>14</v>
      </c>
      <c r="C11" s="6" t="s">
        <v>15</v>
      </c>
      <c r="D11" s="6" t="s">
        <v>16</v>
      </c>
      <c r="E11" s="6" t="s">
        <v>3</v>
      </c>
      <c r="F11" s="6" t="s">
        <v>17</v>
      </c>
      <c r="G11" s="5" t="s">
        <v>34</v>
      </c>
      <c r="H11" s="6" t="s">
        <v>24</v>
      </c>
      <c r="I11" s="7">
        <v>791</v>
      </c>
      <c r="J11" s="6" t="s">
        <v>33</v>
      </c>
      <c r="K11" s="72"/>
      <c r="L11" s="12">
        <f>0.0791*227.21*117.5809</f>
        <v>2113.2005024599002</v>
      </c>
      <c r="M11" s="12">
        <v>633.96353795831999</v>
      </c>
    </row>
    <row r="12" spans="1:13" x14ac:dyDescent="0.25">
      <c r="A12" s="5"/>
      <c r="B12" s="6"/>
      <c r="C12" s="6"/>
      <c r="D12" s="6"/>
      <c r="E12" s="6"/>
      <c r="F12" s="6"/>
      <c r="G12" s="5"/>
      <c r="H12" s="13" t="s">
        <v>25</v>
      </c>
      <c r="I12" s="7">
        <f>SUM(I10:I11)</f>
        <v>1582</v>
      </c>
      <c r="J12" s="6"/>
      <c r="K12" s="73"/>
      <c r="L12" s="15">
        <f>SUM(L10:L11)</f>
        <v>4226.4010049198005</v>
      </c>
      <c r="M12" s="15">
        <f>SUM(M10:M11)</f>
        <v>1267.9236886962899</v>
      </c>
    </row>
    <row r="13" spans="1:13" ht="22.5" x14ac:dyDescent="0.25">
      <c r="A13" s="5" t="s">
        <v>13</v>
      </c>
      <c r="B13" s="6" t="s">
        <v>14</v>
      </c>
      <c r="C13" s="6" t="s">
        <v>15</v>
      </c>
      <c r="D13" s="6" t="s">
        <v>16</v>
      </c>
      <c r="E13" s="6" t="s">
        <v>3</v>
      </c>
      <c r="F13" s="6" t="s">
        <v>17</v>
      </c>
      <c r="G13" s="5" t="s">
        <v>35</v>
      </c>
      <c r="H13" s="6" t="s">
        <v>24</v>
      </c>
      <c r="I13" s="7">
        <v>791</v>
      </c>
      <c r="J13" s="6" t="s">
        <v>33</v>
      </c>
      <c r="K13" s="8">
        <v>8</v>
      </c>
      <c r="L13" s="9">
        <f>0.0791*227.21*117.5809</f>
        <v>2113.2005024599002</v>
      </c>
      <c r="M13" s="9">
        <v>633.96353795831999</v>
      </c>
    </row>
    <row r="14" spans="1:13" ht="22.5" x14ac:dyDescent="0.25">
      <c r="A14" s="5" t="s">
        <v>13</v>
      </c>
      <c r="B14" s="6" t="s">
        <v>14</v>
      </c>
      <c r="C14" s="6" t="s">
        <v>15</v>
      </c>
      <c r="D14" s="6" t="s">
        <v>16</v>
      </c>
      <c r="E14" s="6" t="s">
        <v>3</v>
      </c>
      <c r="F14" s="6" t="s">
        <v>17</v>
      </c>
      <c r="G14" s="5" t="s">
        <v>36</v>
      </c>
      <c r="H14" s="6" t="s">
        <v>24</v>
      </c>
      <c r="I14" s="7">
        <v>791</v>
      </c>
      <c r="J14" s="6" t="s">
        <v>33</v>
      </c>
      <c r="K14" s="71">
        <v>9</v>
      </c>
      <c r="L14" s="16">
        <f>0.0791*227.21*117.5809</f>
        <v>2113.2005024599002</v>
      </c>
      <c r="M14" s="16">
        <f>L14*0.3</f>
        <v>633.96015073797003</v>
      </c>
    </row>
    <row r="15" spans="1:13" ht="22.5" x14ac:dyDescent="0.25">
      <c r="A15" s="5" t="s">
        <v>13</v>
      </c>
      <c r="B15" s="6" t="s">
        <v>14</v>
      </c>
      <c r="C15" s="6" t="s">
        <v>15</v>
      </c>
      <c r="D15" s="6" t="s">
        <v>16</v>
      </c>
      <c r="E15" s="6" t="s">
        <v>3</v>
      </c>
      <c r="F15" s="6" t="s">
        <v>17</v>
      </c>
      <c r="G15" s="5" t="s">
        <v>37</v>
      </c>
      <c r="H15" s="6" t="s">
        <v>24</v>
      </c>
      <c r="I15" s="7">
        <v>741</v>
      </c>
      <c r="J15" s="6" t="s">
        <v>33</v>
      </c>
      <c r="K15" s="72"/>
      <c r="L15" s="12">
        <f>0.0741*227.21*117.5809</f>
        <v>1979.6227210149</v>
      </c>
      <c r="M15" s="12">
        <f>L15*0.3</f>
        <v>593.88681630447002</v>
      </c>
    </row>
    <row r="16" spans="1:13" ht="22.5" x14ac:dyDescent="0.25">
      <c r="A16" s="5" t="s">
        <v>13</v>
      </c>
      <c r="B16" s="6" t="s">
        <v>14</v>
      </c>
      <c r="C16" s="6" t="s">
        <v>15</v>
      </c>
      <c r="D16" s="6" t="s">
        <v>16</v>
      </c>
      <c r="E16" s="6" t="s">
        <v>3</v>
      </c>
      <c r="F16" s="6" t="s">
        <v>17</v>
      </c>
      <c r="G16" s="5" t="s">
        <v>38</v>
      </c>
      <c r="H16" s="6" t="s">
        <v>24</v>
      </c>
      <c r="I16" s="7">
        <v>818</v>
      </c>
      <c r="J16" s="6" t="s">
        <v>33</v>
      </c>
      <c r="K16" s="72"/>
      <c r="L16" s="16">
        <f>0.0818*227.21*117.5809</f>
        <v>2185.3325044402</v>
      </c>
      <c r="M16" s="16">
        <f>L16*0.3</f>
        <v>655.59975133206001</v>
      </c>
    </row>
    <row r="17" spans="1:13" x14ac:dyDescent="0.25">
      <c r="A17" s="5"/>
      <c r="B17" s="6"/>
      <c r="C17" s="6"/>
      <c r="D17" s="6"/>
      <c r="E17" s="6"/>
      <c r="F17" s="6"/>
      <c r="G17" s="5"/>
      <c r="H17" s="13" t="s">
        <v>25</v>
      </c>
      <c r="I17" s="7">
        <f>SUM(I14:I16)</f>
        <v>2350</v>
      </c>
      <c r="J17" s="6"/>
      <c r="K17" s="73"/>
      <c r="L17" s="9">
        <f>SUM(L14:L16)</f>
        <v>6278.1557279150002</v>
      </c>
      <c r="M17" s="9">
        <f>SUM(M14:M16)</f>
        <v>1883.4467183745001</v>
      </c>
    </row>
    <row r="18" spans="1:13" ht="22.5" x14ac:dyDescent="0.25">
      <c r="A18" s="5" t="s">
        <v>13</v>
      </c>
      <c r="B18" s="6" t="s">
        <v>14</v>
      </c>
      <c r="C18" s="6" t="s">
        <v>15</v>
      </c>
      <c r="D18" s="6" t="s">
        <v>16</v>
      </c>
      <c r="E18" s="6" t="s">
        <v>3</v>
      </c>
      <c r="F18" s="6" t="s">
        <v>17</v>
      </c>
      <c r="G18" s="5" t="s">
        <v>39</v>
      </c>
      <c r="H18" s="6" t="s">
        <v>24</v>
      </c>
      <c r="I18" s="7">
        <v>743</v>
      </c>
      <c r="J18" s="6" t="s">
        <v>33</v>
      </c>
      <c r="K18" s="71">
        <v>10</v>
      </c>
      <c r="L18" s="16">
        <f>0.0743*227.21*117.5809</f>
        <v>1984.9658322727003</v>
      </c>
      <c r="M18" s="16">
        <f t="shared" ref="M18:M25" si="0">L18*0.3</f>
        <v>595.48974968181005</v>
      </c>
    </row>
    <row r="19" spans="1:13" ht="22.5" x14ac:dyDescent="0.25">
      <c r="A19" s="5" t="s">
        <v>13</v>
      </c>
      <c r="B19" s="6" t="s">
        <v>14</v>
      </c>
      <c r="C19" s="6" t="s">
        <v>15</v>
      </c>
      <c r="D19" s="6" t="s">
        <v>16</v>
      </c>
      <c r="E19" s="6" t="s">
        <v>3</v>
      </c>
      <c r="F19" s="6" t="s">
        <v>17</v>
      </c>
      <c r="G19" s="5" t="s">
        <v>40</v>
      </c>
      <c r="H19" s="6" t="s">
        <v>24</v>
      </c>
      <c r="I19" s="7">
        <v>703</v>
      </c>
      <c r="J19" s="6" t="s">
        <v>33</v>
      </c>
      <c r="K19" s="72"/>
      <c r="L19" s="12">
        <f>0.0703*227.21*117.5809</f>
        <v>1878.1036071167</v>
      </c>
      <c r="M19" s="12">
        <f t="shared" si="0"/>
        <v>563.43108213501</v>
      </c>
    </row>
    <row r="20" spans="1:13" ht="22.5" x14ac:dyDescent="0.25">
      <c r="A20" s="5" t="s">
        <v>13</v>
      </c>
      <c r="B20" s="6" t="s">
        <v>14</v>
      </c>
      <c r="C20" s="6" t="s">
        <v>15</v>
      </c>
      <c r="D20" s="6" t="s">
        <v>16</v>
      </c>
      <c r="E20" s="6" t="s">
        <v>3</v>
      </c>
      <c r="F20" s="6" t="s">
        <v>17</v>
      </c>
      <c r="G20" s="5" t="s">
        <v>41</v>
      </c>
      <c r="H20" s="6" t="s">
        <v>24</v>
      </c>
      <c r="I20" s="7">
        <v>704</v>
      </c>
      <c r="J20" s="6" t="s">
        <v>33</v>
      </c>
      <c r="K20" s="72"/>
      <c r="L20" s="16">
        <f>0.0704*227.21*117.5809</f>
        <v>1880.7751627456</v>
      </c>
      <c r="M20" s="16">
        <f t="shared" si="0"/>
        <v>564.23254882367996</v>
      </c>
    </row>
    <row r="21" spans="1:13" ht="22.5" x14ac:dyDescent="0.25">
      <c r="A21" s="5" t="s">
        <v>13</v>
      </c>
      <c r="B21" s="6" t="s">
        <v>14</v>
      </c>
      <c r="C21" s="6" t="s">
        <v>15</v>
      </c>
      <c r="D21" s="6" t="s">
        <v>16</v>
      </c>
      <c r="E21" s="6" t="s">
        <v>3</v>
      </c>
      <c r="F21" s="6" t="s">
        <v>17</v>
      </c>
      <c r="G21" s="5" t="s">
        <v>42</v>
      </c>
      <c r="H21" s="6" t="s">
        <v>24</v>
      </c>
      <c r="I21" s="7">
        <v>703</v>
      </c>
      <c r="J21" s="6" t="s">
        <v>33</v>
      </c>
      <c r="K21" s="72"/>
      <c r="L21" s="12">
        <f>0.0703*227.21*117.5809</f>
        <v>1878.1036071167</v>
      </c>
      <c r="M21" s="12">
        <f t="shared" si="0"/>
        <v>563.43108213501</v>
      </c>
    </row>
    <row r="22" spans="1:13" ht="22.5" x14ac:dyDescent="0.25">
      <c r="A22" s="5" t="s">
        <v>13</v>
      </c>
      <c r="B22" s="6" t="s">
        <v>14</v>
      </c>
      <c r="C22" s="6" t="s">
        <v>15</v>
      </c>
      <c r="D22" s="6" t="s">
        <v>16</v>
      </c>
      <c r="E22" s="6" t="s">
        <v>3</v>
      </c>
      <c r="F22" s="6" t="s">
        <v>17</v>
      </c>
      <c r="G22" s="5" t="s">
        <v>43</v>
      </c>
      <c r="H22" s="6" t="s">
        <v>24</v>
      </c>
      <c r="I22" s="7">
        <v>704</v>
      </c>
      <c r="J22" s="6" t="s">
        <v>33</v>
      </c>
      <c r="K22" s="72"/>
      <c r="L22" s="16">
        <f>0.0704*227.21*117.5809</f>
        <v>1880.7751627456</v>
      </c>
      <c r="M22" s="16">
        <f t="shared" si="0"/>
        <v>564.23254882367996</v>
      </c>
    </row>
    <row r="23" spans="1:13" ht="22.5" x14ac:dyDescent="0.25">
      <c r="A23" s="5" t="s">
        <v>13</v>
      </c>
      <c r="B23" s="6" t="s">
        <v>14</v>
      </c>
      <c r="C23" s="6" t="s">
        <v>15</v>
      </c>
      <c r="D23" s="6" t="s">
        <v>16</v>
      </c>
      <c r="E23" s="6" t="s">
        <v>3</v>
      </c>
      <c r="F23" s="6" t="s">
        <v>17</v>
      </c>
      <c r="G23" s="5" t="s">
        <v>44</v>
      </c>
      <c r="H23" s="6" t="s">
        <v>24</v>
      </c>
      <c r="I23" s="7">
        <v>703</v>
      </c>
      <c r="J23" s="6" t="s">
        <v>33</v>
      </c>
      <c r="K23" s="72"/>
      <c r="L23" s="12">
        <f>0.0703*227.21*117.5809</f>
        <v>1878.1036071167</v>
      </c>
      <c r="M23" s="12">
        <f t="shared" si="0"/>
        <v>563.43108213501</v>
      </c>
    </row>
    <row r="24" spans="1:13" ht="22.5" x14ac:dyDescent="0.25">
      <c r="A24" s="5" t="s">
        <v>13</v>
      </c>
      <c r="B24" s="6" t="s">
        <v>14</v>
      </c>
      <c r="C24" s="6" t="s">
        <v>15</v>
      </c>
      <c r="D24" s="6" t="s">
        <v>16</v>
      </c>
      <c r="E24" s="6" t="s">
        <v>3</v>
      </c>
      <c r="F24" s="6" t="s">
        <v>17</v>
      </c>
      <c r="G24" s="5" t="s">
        <v>45</v>
      </c>
      <c r="H24" s="6" t="s">
        <v>24</v>
      </c>
      <c r="I24" s="7">
        <v>704</v>
      </c>
      <c r="J24" s="6" t="s">
        <v>33</v>
      </c>
      <c r="K24" s="72"/>
      <c r="L24" s="16">
        <f>0.0704*227.21*117.5809</f>
        <v>1880.7751627456</v>
      </c>
      <c r="M24" s="16">
        <f t="shared" si="0"/>
        <v>564.23254882367996</v>
      </c>
    </row>
    <row r="25" spans="1:13" ht="22.5" x14ac:dyDescent="0.25">
      <c r="A25" s="5" t="s">
        <v>13</v>
      </c>
      <c r="B25" s="6" t="s">
        <v>14</v>
      </c>
      <c r="C25" s="6" t="s">
        <v>15</v>
      </c>
      <c r="D25" s="6" t="s">
        <v>16</v>
      </c>
      <c r="E25" s="6" t="s">
        <v>3</v>
      </c>
      <c r="F25" s="6" t="s">
        <v>17</v>
      </c>
      <c r="G25" s="5" t="s">
        <v>46</v>
      </c>
      <c r="H25" s="6" t="s">
        <v>24</v>
      </c>
      <c r="I25" s="7">
        <v>703</v>
      </c>
      <c r="J25" s="6" t="s">
        <v>33</v>
      </c>
      <c r="K25" s="72"/>
      <c r="L25" s="12">
        <f>0.0703*227.21*117.5809</f>
        <v>1878.1036071167</v>
      </c>
      <c r="M25" s="12">
        <f t="shared" si="0"/>
        <v>563.43108213501</v>
      </c>
    </row>
    <row r="26" spans="1:13" x14ac:dyDescent="0.25">
      <c r="A26" s="5"/>
      <c r="B26" s="6"/>
      <c r="C26" s="6"/>
      <c r="D26" s="6"/>
      <c r="E26" s="6"/>
      <c r="F26" s="6"/>
      <c r="G26" s="5"/>
      <c r="H26" s="13" t="s">
        <v>25</v>
      </c>
      <c r="I26" s="7">
        <f>SUM(I18:I25)</f>
        <v>5667</v>
      </c>
      <c r="J26" s="6"/>
      <c r="K26" s="73"/>
      <c r="L26" s="15">
        <f>SUM(L18:L25)</f>
        <v>15139.705748976301</v>
      </c>
      <c r="M26" s="15">
        <f>SUM(M18:M25)</f>
        <v>4541.9117246928899</v>
      </c>
    </row>
    <row r="27" spans="1:13" ht="22.5" x14ac:dyDescent="0.25">
      <c r="A27" s="5" t="s">
        <v>13</v>
      </c>
      <c r="B27" s="6" t="s">
        <v>14</v>
      </c>
      <c r="C27" s="6" t="s">
        <v>15</v>
      </c>
      <c r="D27" s="6" t="s">
        <v>16</v>
      </c>
      <c r="E27" s="6" t="s">
        <v>3</v>
      </c>
      <c r="F27" s="6" t="s">
        <v>17</v>
      </c>
      <c r="G27" s="5" t="s">
        <v>47</v>
      </c>
      <c r="H27" s="6" t="s">
        <v>24</v>
      </c>
      <c r="I27" s="7">
        <v>1076</v>
      </c>
      <c r="J27" s="6" t="s">
        <v>33</v>
      </c>
      <c r="K27" s="71">
        <v>11</v>
      </c>
      <c r="L27" s="12">
        <f>0.1076*227.21*117.5809</f>
        <v>2874.5938566964001</v>
      </c>
      <c r="M27" s="12">
        <f>L27*0.3</f>
        <v>862.37815700891997</v>
      </c>
    </row>
    <row r="28" spans="1:13" ht="22.5" x14ac:dyDescent="0.25">
      <c r="A28" s="5" t="s">
        <v>13</v>
      </c>
      <c r="B28" s="6" t="s">
        <v>14</v>
      </c>
      <c r="C28" s="6" t="s">
        <v>15</v>
      </c>
      <c r="D28" s="6" t="s">
        <v>16</v>
      </c>
      <c r="E28" s="6" t="s">
        <v>3</v>
      </c>
      <c r="F28" s="6" t="s">
        <v>17</v>
      </c>
      <c r="G28" s="5" t="s">
        <v>48</v>
      </c>
      <c r="H28" s="6" t="s">
        <v>24</v>
      </c>
      <c r="I28" s="7">
        <v>1063</v>
      </c>
      <c r="J28" s="6" t="s">
        <v>33</v>
      </c>
      <c r="K28" s="72"/>
      <c r="L28" s="16">
        <f>0.1063*227.21*117.5809</f>
        <v>2839.8636335207002</v>
      </c>
      <c r="M28" s="16">
        <f>L28*0.3</f>
        <v>851.95909005621002</v>
      </c>
    </row>
    <row r="29" spans="1:13" ht="22.5" x14ac:dyDescent="0.25">
      <c r="A29" s="5" t="s">
        <v>13</v>
      </c>
      <c r="B29" s="6" t="s">
        <v>14</v>
      </c>
      <c r="C29" s="6" t="s">
        <v>15</v>
      </c>
      <c r="D29" s="6" t="s">
        <v>16</v>
      </c>
      <c r="E29" s="6" t="s">
        <v>3</v>
      </c>
      <c r="F29" s="6" t="s">
        <v>17</v>
      </c>
      <c r="G29" s="5" t="s">
        <v>49</v>
      </c>
      <c r="H29" s="6" t="s">
        <v>24</v>
      </c>
      <c r="I29" s="7">
        <v>1050</v>
      </c>
      <c r="J29" s="6" t="s">
        <v>33</v>
      </c>
      <c r="K29" s="72"/>
      <c r="L29" s="12">
        <f>0.105*227.21*117.5809</f>
        <v>2805.1334103449999</v>
      </c>
      <c r="M29" s="12">
        <f>L29*0.3</f>
        <v>841.54002310349995</v>
      </c>
    </row>
    <row r="30" spans="1:13" ht="22.5" x14ac:dyDescent="0.25">
      <c r="A30" s="5" t="s">
        <v>13</v>
      </c>
      <c r="B30" s="6" t="s">
        <v>14</v>
      </c>
      <c r="C30" s="6" t="s">
        <v>15</v>
      </c>
      <c r="D30" s="6" t="s">
        <v>16</v>
      </c>
      <c r="E30" s="6" t="s">
        <v>3</v>
      </c>
      <c r="F30" s="6" t="s">
        <v>17</v>
      </c>
      <c r="G30" s="5" t="s">
        <v>50</v>
      </c>
      <c r="H30" s="6" t="s">
        <v>24</v>
      </c>
      <c r="I30" s="7">
        <v>1039</v>
      </c>
      <c r="J30" s="6" t="s">
        <v>33</v>
      </c>
      <c r="K30" s="72"/>
      <c r="L30" s="16">
        <f>0.1039*227.21*117.5809</f>
        <v>2775.7462984271001</v>
      </c>
      <c r="M30" s="16">
        <f>L30*0.3</f>
        <v>832.72388952813003</v>
      </c>
    </row>
    <row r="31" spans="1:13" x14ac:dyDescent="0.25">
      <c r="A31" s="5"/>
      <c r="B31" s="6"/>
      <c r="C31" s="6"/>
      <c r="D31" s="6"/>
      <c r="E31" s="6"/>
      <c r="F31" s="6"/>
      <c r="G31" s="5"/>
      <c r="H31" s="13" t="s">
        <v>25</v>
      </c>
      <c r="I31" s="7">
        <f>SUM(I27:I30)</f>
        <v>4228</v>
      </c>
      <c r="J31" s="6"/>
      <c r="K31" s="73"/>
      <c r="L31" s="9">
        <f>SUM(L27:L30)</f>
        <v>11295.3371989892</v>
      </c>
      <c r="M31" s="9">
        <f>SUM(M27:M30)</f>
        <v>3388.6011596967601</v>
      </c>
    </row>
    <row r="32" spans="1:13" ht="22.5" x14ac:dyDescent="0.25">
      <c r="A32" s="5" t="s">
        <v>13</v>
      </c>
      <c r="B32" s="6" t="s">
        <v>14</v>
      </c>
      <c r="C32" s="6" t="s">
        <v>15</v>
      </c>
      <c r="D32" s="6" t="s">
        <v>16</v>
      </c>
      <c r="E32" s="6" t="s">
        <v>3</v>
      </c>
      <c r="F32" s="6" t="s">
        <v>17</v>
      </c>
      <c r="G32" s="5" t="s">
        <v>51</v>
      </c>
      <c r="H32" s="6" t="s">
        <v>24</v>
      </c>
      <c r="I32" s="7">
        <v>1020</v>
      </c>
      <c r="J32" s="6" t="s">
        <v>33</v>
      </c>
      <c r="K32" s="8">
        <v>12</v>
      </c>
      <c r="L32" s="15">
        <f>0.102*227.21*117.5809</f>
        <v>2724.9867414779997</v>
      </c>
      <c r="M32" s="15">
        <f>L32*0.3</f>
        <v>817.49602244339985</v>
      </c>
    </row>
    <row r="33" spans="1:13" ht="22.5" x14ac:dyDescent="0.25">
      <c r="A33" s="5" t="s">
        <v>13</v>
      </c>
      <c r="B33" s="6" t="s">
        <v>14</v>
      </c>
      <c r="C33" s="6" t="s">
        <v>15</v>
      </c>
      <c r="D33" s="6" t="s">
        <v>16</v>
      </c>
      <c r="E33" s="6" t="s">
        <v>3</v>
      </c>
      <c r="F33" s="6" t="s">
        <v>17</v>
      </c>
      <c r="G33" s="5" t="s">
        <v>52</v>
      </c>
      <c r="H33" s="6" t="s">
        <v>24</v>
      </c>
      <c r="I33" s="7">
        <v>4067</v>
      </c>
      <c r="J33" s="6" t="s">
        <v>33</v>
      </c>
      <c r="K33" s="8">
        <v>13</v>
      </c>
      <c r="L33" s="9">
        <f>0.4067*227.21*117.5809</f>
        <v>10865.2167427363</v>
      </c>
      <c r="M33" s="9">
        <f>L33*0.3</f>
        <v>3259.5650228208901</v>
      </c>
    </row>
    <row r="34" spans="1:13" ht="33.75" x14ac:dyDescent="0.25">
      <c r="A34" s="5" t="s">
        <v>13</v>
      </c>
      <c r="B34" s="6" t="s">
        <v>14</v>
      </c>
      <c r="C34" s="6" t="s">
        <v>15</v>
      </c>
      <c r="D34" s="6" t="s">
        <v>16</v>
      </c>
      <c r="E34" s="6" t="s">
        <v>3</v>
      </c>
      <c r="F34" s="6" t="s">
        <v>17</v>
      </c>
      <c r="G34" s="5" t="s">
        <v>53</v>
      </c>
      <c r="H34" s="6" t="s">
        <v>54</v>
      </c>
      <c r="I34" s="7">
        <v>18883</v>
      </c>
      <c r="J34" s="6" t="s">
        <v>55</v>
      </c>
      <c r="K34" s="71">
        <v>14</v>
      </c>
      <c r="L34" s="16">
        <f>1.8883*40.39*117.5809</f>
        <v>8967.7114640533</v>
      </c>
      <c r="M34" s="16">
        <f>L34*0.3</f>
        <v>2690.31343921599</v>
      </c>
    </row>
    <row r="35" spans="1:13" ht="33.75" x14ac:dyDescent="0.25">
      <c r="A35" s="5" t="s">
        <v>13</v>
      </c>
      <c r="B35" s="6" t="s">
        <v>14</v>
      </c>
      <c r="C35" s="6" t="s">
        <v>15</v>
      </c>
      <c r="D35" s="6" t="s">
        <v>16</v>
      </c>
      <c r="E35" s="6" t="s">
        <v>3</v>
      </c>
      <c r="F35" s="6" t="s">
        <v>17</v>
      </c>
      <c r="G35" s="5" t="s">
        <v>56</v>
      </c>
      <c r="H35" s="6" t="s">
        <v>57</v>
      </c>
      <c r="I35" s="7">
        <v>278</v>
      </c>
      <c r="J35" s="6" t="s">
        <v>55</v>
      </c>
      <c r="K35" s="72"/>
      <c r="L35" s="12">
        <f>0.0278*11.36*117.5809</f>
        <v>37.132988867199998</v>
      </c>
      <c r="M35" s="12">
        <f>L35*0.3</f>
        <v>11.13989666016</v>
      </c>
    </row>
    <row r="36" spans="1:13" x14ac:dyDescent="0.25">
      <c r="A36" s="5"/>
      <c r="B36" s="6"/>
      <c r="C36" s="6"/>
      <c r="D36" s="6"/>
      <c r="E36" s="6"/>
      <c r="F36" s="6"/>
      <c r="G36" s="5"/>
      <c r="H36" s="13" t="s">
        <v>25</v>
      </c>
      <c r="I36" s="7">
        <f>SUM(I34:I35)</f>
        <v>19161</v>
      </c>
      <c r="J36" s="6"/>
      <c r="K36" s="73"/>
      <c r="L36" s="15">
        <f>SUM(L34:L35)</f>
        <v>9004.8444529205008</v>
      </c>
      <c r="M36" s="15">
        <f>SUM(M34:M35)</f>
        <v>2701.45333587615</v>
      </c>
    </row>
    <row r="37" spans="1:13" ht="22.5" x14ac:dyDescent="0.25">
      <c r="A37" s="5" t="s">
        <v>13</v>
      </c>
      <c r="B37" s="6" t="s">
        <v>14</v>
      </c>
      <c r="C37" s="6" t="s">
        <v>15</v>
      </c>
      <c r="D37" s="6" t="s">
        <v>16</v>
      </c>
      <c r="E37" s="6" t="s">
        <v>3</v>
      </c>
      <c r="F37" s="6" t="s">
        <v>17</v>
      </c>
      <c r="G37" s="5" t="s">
        <v>58</v>
      </c>
      <c r="H37" s="6" t="s">
        <v>59</v>
      </c>
      <c r="I37" s="7">
        <v>1054</v>
      </c>
      <c r="J37" s="6" t="s">
        <v>33</v>
      </c>
      <c r="K37" s="71">
        <v>15</v>
      </c>
      <c r="L37" s="12">
        <f>0.1054*45.44*117.5809</f>
        <v>563.13914051839993</v>
      </c>
      <c r="M37" s="12">
        <f>L37*0.3</f>
        <v>168.94174215551996</v>
      </c>
    </row>
    <row r="38" spans="1:13" ht="22.5" x14ac:dyDescent="0.25">
      <c r="A38" s="5" t="s">
        <v>13</v>
      </c>
      <c r="B38" s="6" t="s">
        <v>14</v>
      </c>
      <c r="C38" s="6" t="s">
        <v>15</v>
      </c>
      <c r="D38" s="6" t="s">
        <v>16</v>
      </c>
      <c r="E38" s="6" t="s">
        <v>3</v>
      </c>
      <c r="F38" s="6" t="s">
        <v>17</v>
      </c>
      <c r="G38" s="5" t="s">
        <v>60</v>
      </c>
      <c r="H38" s="6" t="s">
        <v>59</v>
      </c>
      <c r="I38" s="7">
        <v>1033</v>
      </c>
      <c r="J38" s="6" t="s">
        <v>33</v>
      </c>
      <c r="K38" s="72"/>
      <c r="L38" s="16">
        <f>0.1033*45.44*117.5809</f>
        <v>551.9191007167999</v>
      </c>
      <c r="M38" s="16">
        <f>L38*0.3</f>
        <v>165.57573021503995</v>
      </c>
    </row>
    <row r="39" spans="1:13" ht="22.5" x14ac:dyDescent="0.25">
      <c r="A39" s="5" t="s">
        <v>13</v>
      </c>
      <c r="B39" s="6" t="s">
        <v>14</v>
      </c>
      <c r="C39" s="6" t="s">
        <v>15</v>
      </c>
      <c r="D39" s="6" t="s">
        <v>16</v>
      </c>
      <c r="E39" s="6" t="s">
        <v>3</v>
      </c>
      <c r="F39" s="6" t="s">
        <v>17</v>
      </c>
      <c r="G39" s="5" t="s">
        <v>61</v>
      </c>
      <c r="H39" s="6" t="s">
        <v>59</v>
      </c>
      <c r="I39" s="7">
        <v>9290</v>
      </c>
      <c r="J39" s="6" t="s">
        <v>33</v>
      </c>
      <c r="K39" s="72"/>
      <c r="L39" s="12">
        <f>0.929*45.44*117.5809</f>
        <v>4963.5318931840002</v>
      </c>
      <c r="M39" s="12">
        <f>L39*0.3</f>
        <v>1489.0595679552</v>
      </c>
    </row>
    <row r="40" spans="1:13" x14ac:dyDescent="0.25">
      <c r="A40" s="5"/>
      <c r="B40" s="6"/>
      <c r="C40" s="6"/>
      <c r="D40" s="6"/>
      <c r="E40" s="6"/>
      <c r="F40" s="6"/>
      <c r="G40" s="5"/>
      <c r="H40" s="13" t="s">
        <v>25</v>
      </c>
      <c r="I40" s="7">
        <f>SUM(I37:I39)</f>
        <v>11377</v>
      </c>
      <c r="J40" s="6"/>
      <c r="K40" s="73"/>
      <c r="L40" s="15">
        <f>SUM(L37:L39)</f>
        <v>6078.5901344191998</v>
      </c>
      <c r="M40" s="15">
        <f>SUM(M37:M39)</f>
        <v>1823.57704032576</v>
      </c>
    </row>
    <row r="41" spans="1:13" ht="22.5" x14ac:dyDescent="0.25">
      <c r="A41" s="5" t="s">
        <v>13</v>
      </c>
      <c r="B41" s="6" t="s">
        <v>14</v>
      </c>
      <c r="C41" s="6" t="s">
        <v>15</v>
      </c>
      <c r="D41" s="6" t="s">
        <v>16</v>
      </c>
      <c r="E41" s="6" t="s">
        <v>3</v>
      </c>
      <c r="F41" s="6" t="s">
        <v>17</v>
      </c>
      <c r="G41" s="5" t="s">
        <v>62</v>
      </c>
      <c r="H41" s="6" t="s">
        <v>28</v>
      </c>
      <c r="I41" s="7">
        <v>4867</v>
      </c>
      <c r="J41" s="6" t="s">
        <v>20</v>
      </c>
      <c r="K41" s="8">
        <v>16</v>
      </c>
      <c r="L41" s="9">
        <f>0.4867*255.26*117.5809</f>
        <v>14607.6680498978</v>
      </c>
      <c r="M41" s="9">
        <f t="shared" ref="M41:M48" si="1">L41*0.3</f>
        <v>4382.3004149693397</v>
      </c>
    </row>
    <row r="42" spans="1:13" ht="22.5" x14ac:dyDescent="0.25">
      <c r="A42" s="5" t="s">
        <v>13</v>
      </c>
      <c r="B42" s="6" t="s">
        <v>14</v>
      </c>
      <c r="C42" s="6" t="s">
        <v>15</v>
      </c>
      <c r="D42" s="6" t="s">
        <v>16</v>
      </c>
      <c r="E42" s="6" t="s">
        <v>3</v>
      </c>
      <c r="F42" s="6" t="s">
        <v>17</v>
      </c>
      <c r="G42" s="5" t="s">
        <v>63</v>
      </c>
      <c r="H42" s="6" t="s">
        <v>24</v>
      </c>
      <c r="I42" s="7">
        <v>869</v>
      </c>
      <c r="J42" s="6" t="s">
        <v>64</v>
      </c>
      <c r="K42" s="8">
        <v>17</v>
      </c>
      <c r="L42" s="15">
        <f>0.0869*227.21*117.5809</f>
        <v>2321.5818415141002</v>
      </c>
      <c r="M42" s="15">
        <f t="shared" si="1"/>
        <v>696.47455245423009</v>
      </c>
    </row>
    <row r="43" spans="1:13" ht="22.5" x14ac:dyDescent="0.25">
      <c r="A43" s="5" t="s">
        <v>13</v>
      </c>
      <c r="B43" s="6" t="s">
        <v>14</v>
      </c>
      <c r="C43" s="6" t="s">
        <v>15</v>
      </c>
      <c r="D43" s="6" t="s">
        <v>16</v>
      </c>
      <c r="E43" s="6" t="s">
        <v>3</v>
      </c>
      <c r="F43" s="6" t="s">
        <v>17</v>
      </c>
      <c r="G43" s="5" t="s">
        <v>65</v>
      </c>
      <c r="H43" s="6" t="s">
        <v>24</v>
      </c>
      <c r="I43" s="7">
        <v>909</v>
      </c>
      <c r="J43" s="6" t="s">
        <v>64</v>
      </c>
      <c r="K43" s="8">
        <v>18</v>
      </c>
      <c r="L43" s="9">
        <f>0.0909*227.21*117.5809</f>
        <v>2428.4440666701003</v>
      </c>
      <c r="M43" s="9">
        <f t="shared" si="1"/>
        <v>728.53322000103003</v>
      </c>
    </row>
    <row r="44" spans="1:13" ht="22.5" x14ac:dyDescent="0.25">
      <c r="A44" s="5" t="s">
        <v>13</v>
      </c>
      <c r="B44" s="6" t="s">
        <v>14</v>
      </c>
      <c r="C44" s="6" t="s">
        <v>15</v>
      </c>
      <c r="D44" s="6" t="s">
        <v>16</v>
      </c>
      <c r="E44" s="6" t="s">
        <v>3</v>
      </c>
      <c r="F44" s="6" t="s">
        <v>17</v>
      </c>
      <c r="G44" s="5" t="s">
        <v>66</v>
      </c>
      <c r="H44" s="6" t="s">
        <v>24</v>
      </c>
      <c r="I44" s="7">
        <v>1070</v>
      </c>
      <c r="J44" s="6" t="s">
        <v>64</v>
      </c>
      <c r="K44" s="8">
        <v>19</v>
      </c>
      <c r="L44" s="15">
        <f>0.107*227.21*117.5809</f>
        <v>2858.5645229229999</v>
      </c>
      <c r="M44" s="15">
        <f t="shared" si="1"/>
        <v>857.56935687689997</v>
      </c>
    </row>
    <row r="45" spans="1:13" ht="22.5" x14ac:dyDescent="0.25">
      <c r="A45" s="5" t="s">
        <v>13</v>
      </c>
      <c r="B45" s="6" t="s">
        <v>14</v>
      </c>
      <c r="C45" s="6" t="s">
        <v>15</v>
      </c>
      <c r="D45" s="6" t="s">
        <v>16</v>
      </c>
      <c r="E45" s="6" t="s">
        <v>3</v>
      </c>
      <c r="F45" s="6" t="s">
        <v>17</v>
      </c>
      <c r="G45" s="5" t="s">
        <v>67</v>
      </c>
      <c r="H45" s="6" t="s">
        <v>24</v>
      </c>
      <c r="I45" s="7">
        <v>2065</v>
      </c>
      <c r="J45" s="6" t="s">
        <v>64</v>
      </c>
      <c r="K45" s="8">
        <v>20</v>
      </c>
      <c r="L45" s="9">
        <f>0.2065*227.21*117.5809</f>
        <v>5516.7623736784999</v>
      </c>
      <c r="M45" s="9">
        <f t="shared" si="1"/>
        <v>1655.0287121035499</v>
      </c>
    </row>
    <row r="46" spans="1:13" ht="33.75" x14ac:dyDescent="0.25">
      <c r="A46" s="5" t="s">
        <v>13</v>
      </c>
      <c r="B46" s="6" t="s">
        <v>14</v>
      </c>
      <c r="C46" s="6" t="s">
        <v>15</v>
      </c>
      <c r="D46" s="6" t="s">
        <v>16</v>
      </c>
      <c r="E46" s="6" t="s">
        <v>3</v>
      </c>
      <c r="F46" s="6" t="s">
        <v>17</v>
      </c>
      <c r="G46" s="5" t="s">
        <v>68</v>
      </c>
      <c r="H46" s="6" t="s">
        <v>24</v>
      </c>
      <c r="I46" s="7">
        <v>777</v>
      </c>
      <c r="J46" s="6" t="s">
        <v>69</v>
      </c>
      <c r="K46" s="8">
        <v>21</v>
      </c>
      <c r="L46" s="16">
        <f>0.0777*227.21*117.5809</f>
        <v>2075.7987236553004</v>
      </c>
      <c r="M46" s="16">
        <f t="shared" si="1"/>
        <v>622.73961709659011</v>
      </c>
    </row>
    <row r="47" spans="1:13" ht="22.5" x14ac:dyDescent="0.25">
      <c r="A47" s="5" t="s">
        <v>13</v>
      </c>
      <c r="B47" s="6" t="s">
        <v>14</v>
      </c>
      <c r="C47" s="6" t="s">
        <v>15</v>
      </c>
      <c r="D47" s="6" t="s">
        <v>16</v>
      </c>
      <c r="E47" s="6" t="s">
        <v>3</v>
      </c>
      <c r="F47" s="6" t="s">
        <v>17</v>
      </c>
      <c r="G47" s="5" t="s">
        <v>70</v>
      </c>
      <c r="H47" s="6" t="s">
        <v>24</v>
      </c>
      <c r="I47" s="7">
        <v>345</v>
      </c>
      <c r="J47" s="6" t="s">
        <v>71</v>
      </c>
      <c r="K47" s="71">
        <v>22</v>
      </c>
      <c r="L47" s="12">
        <f>0.0345*227.21*117.5809</f>
        <v>921.68669197050019</v>
      </c>
      <c r="M47" s="12">
        <f t="shared" si="1"/>
        <v>276.50600759115002</v>
      </c>
    </row>
    <row r="48" spans="1:13" ht="22.5" x14ac:dyDescent="0.25">
      <c r="A48" s="5" t="s">
        <v>13</v>
      </c>
      <c r="B48" s="6" t="s">
        <v>14</v>
      </c>
      <c r="C48" s="6" t="s">
        <v>15</v>
      </c>
      <c r="D48" s="6" t="s">
        <v>16</v>
      </c>
      <c r="E48" s="6" t="s">
        <v>3</v>
      </c>
      <c r="F48" s="6" t="s">
        <v>17</v>
      </c>
      <c r="G48" s="5" t="s">
        <v>72</v>
      </c>
      <c r="H48" s="6" t="s">
        <v>24</v>
      </c>
      <c r="I48" s="7">
        <v>514</v>
      </c>
      <c r="J48" s="6" t="s">
        <v>71</v>
      </c>
      <c r="K48" s="72"/>
      <c r="L48" s="16">
        <f>0.0514*227.21*117.5809</f>
        <v>1373.1795932546001</v>
      </c>
      <c r="M48" s="16">
        <f t="shared" si="1"/>
        <v>411.95387797638006</v>
      </c>
    </row>
    <row r="49" spans="1:13" x14ac:dyDescent="0.25">
      <c r="A49" s="5"/>
      <c r="B49" s="6"/>
      <c r="C49" s="6"/>
      <c r="D49" s="6"/>
      <c r="E49" s="6"/>
      <c r="F49" s="6"/>
      <c r="G49" s="5"/>
      <c r="H49" s="13" t="s">
        <v>25</v>
      </c>
      <c r="I49" s="7">
        <f>SUM(I47:I48)</f>
        <v>859</v>
      </c>
      <c r="J49" s="6"/>
      <c r="K49" s="73"/>
      <c r="L49" s="9">
        <f>SUM(L47:L48)</f>
        <v>2294.8662852251005</v>
      </c>
      <c r="M49" s="9">
        <f>SUM(M47:M48)</f>
        <v>688.45988556753014</v>
      </c>
    </row>
    <row r="50" spans="1:13" ht="33.75" x14ac:dyDescent="0.25">
      <c r="A50" s="5" t="s">
        <v>13</v>
      </c>
      <c r="B50" s="6" t="s">
        <v>14</v>
      </c>
      <c r="C50" s="6" t="s">
        <v>15</v>
      </c>
      <c r="D50" s="6" t="s">
        <v>16</v>
      </c>
      <c r="E50" s="6" t="s">
        <v>3</v>
      </c>
      <c r="F50" s="6" t="s">
        <v>17</v>
      </c>
      <c r="G50" s="5" t="s">
        <v>73</v>
      </c>
      <c r="H50" s="6" t="s">
        <v>28</v>
      </c>
      <c r="I50" s="7">
        <v>641</v>
      </c>
      <c r="J50" s="6" t="s">
        <v>74</v>
      </c>
      <c r="K50" s="8">
        <v>23</v>
      </c>
      <c r="L50" s="15">
        <f>0.0641*255.26*117.5809</f>
        <v>1923.8782042294001</v>
      </c>
      <c r="M50" s="15">
        <f t="shared" ref="M50:M60" si="2">L50*0.3</f>
        <v>577.16346126882001</v>
      </c>
    </row>
    <row r="51" spans="1:13" ht="33.75" x14ac:dyDescent="0.25">
      <c r="A51" s="5" t="s">
        <v>13</v>
      </c>
      <c r="B51" s="6" t="s">
        <v>14</v>
      </c>
      <c r="C51" s="6" t="s">
        <v>15</v>
      </c>
      <c r="D51" s="6" t="s">
        <v>16</v>
      </c>
      <c r="E51" s="6" t="s">
        <v>3</v>
      </c>
      <c r="F51" s="6" t="s">
        <v>17</v>
      </c>
      <c r="G51" s="5" t="s">
        <v>75</v>
      </c>
      <c r="H51" s="6" t="s">
        <v>28</v>
      </c>
      <c r="I51" s="7">
        <v>647</v>
      </c>
      <c r="J51" s="6" t="s">
        <v>74</v>
      </c>
      <c r="K51" s="8">
        <v>24</v>
      </c>
      <c r="L51" s="9">
        <f>0.0647*255.26*117.5809</f>
        <v>1941.8864245497998</v>
      </c>
      <c r="M51" s="9">
        <f t="shared" si="2"/>
        <v>582.56592736493997</v>
      </c>
    </row>
    <row r="52" spans="1:13" ht="33.75" x14ac:dyDescent="0.25">
      <c r="A52" s="5" t="s">
        <v>13</v>
      </c>
      <c r="B52" s="6" t="s">
        <v>14</v>
      </c>
      <c r="C52" s="6" t="s">
        <v>15</v>
      </c>
      <c r="D52" s="6" t="s">
        <v>16</v>
      </c>
      <c r="E52" s="6" t="s">
        <v>3</v>
      </c>
      <c r="F52" s="6" t="s">
        <v>17</v>
      </c>
      <c r="G52" s="5" t="s">
        <v>76</v>
      </c>
      <c r="H52" s="6" t="s">
        <v>28</v>
      </c>
      <c r="I52" s="7">
        <v>24</v>
      </c>
      <c r="J52" s="6" t="s">
        <v>74</v>
      </c>
      <c r="K52" s="8">
        <v>25</v>
      </c>
      <c r="L52" s="15">
        <f>0.0024*255.26*117.5809</f>
        <v>72.032881281599998</v>
      </c>
      <c r="M52" s="15">
        <f t="shared" si="2"/>
        <v>21.609864384479998</v>
      </c>
    </row>
    <row r="53" spans="1:13" ht="33.75" x14ac:dyDescent="0.25">
      <c r="A53" s="5" t="s">
        <v>13</v>
      </c>
      <c r="B53" s="6" t="s">
        <v>14</v>
      </c>
      <c r="C53" s="6" t="s">
        <v>15</v>
      </c>
      <c r="D53" s="6" t="s">
        <v>16</v>
      </c>
      <c r="E53" s="6" t="s">
        <v>3</v>
      </c>
      <c r="F53" s="6" t="s">
        <v>17</v>
      </c>
      <c r="G53" s="5" t="s">
        <v>77</v>
      </c>
      <c r="H53" s="6" t="s">
        <v>28</v>
      </c>
      <c r="I53" s="7">
        <v>700</v>
      </c>
      <c r="J53" s="6" t="s">
        <v>74</v>
      </c>
      <c r="K53" s="71">
        <v>26</v>
      </c>
      <c r="L53" s="12">
        <f t="shared" ref="L53:L60" si="3">0.07*255.26*117.5809</f>
        <v>2100.9590373800002</v>
      </c>
      <c r="M53" s="12">
        <f t="shared" si="2"/>
        <v>630.28771121400007</v>
      </c>
    </row>
    <row r="54" spans="1:13" ht="33.75" x14ac:dyDescent="0.25">
      <c r="A54" s="5" t="s">
        <v>13</v>
      </c>
      <c r="B54" s="6" t="s">
        <v>14</v>
      </c>
      <c r="C54" s="6" t="s">
        <v>15</v>
      </c>
      <c r="D54" s="6" t="s">
        <v>16</v>
      </c>
      <c r="E54" s="6" t="s">
        <v>3</v>
      </c>
      <c r="F54" s="6" t="s">
        <v>17</v>
      </c>
      <c r="G54" s="5" t="s">
        <v>78</v>
      </c>
      <c r="H54" s="6" t="s">
        <v>28</v>
      </c>
      <c r="I54" s="7">
        <v>700</v>
      </c>
      <c r="J54" s="6" t="s">
        <v>74</v>
      </c>
      <c r="K54" s="72"/>
      <c r="L54" s="16">
        <f t="shared" si="3"/>
        <v>2100.9590373800002</v>
      </c>
      <c r="M54" s="16">
        <f t="shared" si="2"/>
        <v>630.28771121400007</v>
      </c>
    </row>
    <row r="55" spans="1:13" ht="33.75" x14ac:dyDescent="0.25">
      <c r="A55" s="5" t="s">
        <v>13</v>
      </c>
      <c r="B55" s="6" t="s">
        <v>14</v>
      </c>
      <c r="C55" s="6" t="s">
        <v>15</v>
      </c>
      <c r="D55" s="6" t="s">
        <v>16</v>
      </c>
      <c r="E55" s="6" t="s">
        <v>3</v>
      </c>
      <c r="F55" s="6" t="s">
        <v>17</v>
      </c>
      <c r="G55" s="5" t="s">
        <v>79</v>
      </c>
      <c r="H55" s="6" t="s">
        <v>28</v>
      </c>
      <c r="I55" s="7">
        <v>700</v>
      </c>
      <c r="J55" s="6" t="s">
        <v>74</v>
      </c>
      <c r="K55" s="72"/>
      <c r="L55" s="12">
        <f t="shared" si="3"/>
        <v>2100.9590373800002</v>
      </c>
      <c r="M55" s="12">
        <f t="shared" si="2"/>
        <v>630.28771121400007</v>
      </c>
    </row>
    <row r="56" spans="1:13" ht="33.75" x14ac:dyDescent="0.25">
      <c r="A56" s="5" t="s">
        <v>13</v>
      </c>
      <c r="B56" s="6" t="s">
        <v>14</v>
      </c>
      <c r="C56" s="6" t="s">
        <v>15</v>
      </c>
      <c r="D56" s="6" t="s">
        <v>16</v>
      </c>
      <c r="E56" s="6" t="s">
        <v>3</v>
      </c>
      <c r="F56" s="6" t="s">
        <v>17</v>
      </c>
      <c r="G56" s="5" t="s">
        <v>80</v>
      </c>
      <c r="H56" s="6" t="s">
        <v>28</v>
      </c>
      <c r="I56" s="7">
        <v>700</v>
      </c>
      <c r="J56" s="6" t="s">
        <v>74</v>
      </c>
      <c r="K56" s="72"/>
      <c r="L56" s="16">
        <f t="shared" si="3"/>
        <v>2100.9590373800002</v>
      </c>
      <c r="M56" s="16">
        <f t="shared" si="2"/>
        <v>630.28771121400007</v>
      </c>
    </row>
    <row r="57" spans="1:13" ht="33.75" x14ac:dyDescent="0.25">
      <c r="A57" s="5" t="s">
        <v>13</v>
      </c>
      <c r="B57" s="6" t="s">
        <v>14</v>
      </c>
      <c r="C57" s="6" t="s">
        <v>15</v>
      </c>
      <c r="D57" s="6" t="s">
        <v>16</v>
      </c>
      <c r="E57" s="6" t="s">
        <v>3</v>
      </c>
      <c r="F57" s="6" t="s">
        <v>17</v>
      </c>
      <c r="G57" s="5" t="s">
        <v>81</v>
      </c>
      <c r="H57" s="6" t="s">
        <v>28</v>
      </c>
      <c r="I57" s="7">
        <v>700</v>
      </c>
      <c r="J57" s="6" t="s">
        <v>74</v>
      </c>
      <c r="K57" s="72"/>
      <c r="L57" s="12">
        <f t="shared" si="3"/>
        <v>2100.9590373800002</v>
      </c>
      <c r="M57" s="12">
        <f t="shared" si="2"/>
        <v>630.28771121400007</v>
      </c>
    </row>
    <row r="58" spans="1:13" ht="33.75" x14ac:dyDescent="0.25">
      <c r="A58" s="5" t="s">
        <v>13</v>
      </c>
      <c r="B58" s="6" t="s">
        <v>14</v>
      </c>
      <c r="C58" s="6" t="s">
        <v>15</v>
      </c>
      <c r="D58" s="6" t="s">
        <v>16</v>
      </c>
      <c r="E58" s="6" t="s">
        <v>3</v>
      </c>
      <c r="F58" s="6" t="s">
        <v>17</v>
      </c>
      <c r="G58" s="5" t="s">
        <v>82</v>
      </c>
      <c r="H58" s="6" t="s">
        <v>28</v>
      </c>
      <c r="I58" s="7">
        <v>700</v>
      </c>
      <c r="J58" s="6" t="s">
        <v>74</v>
      </c>
      <c r="K58" s="72"/>
      <c r="L58" s="16">
        <f t="shared" si="3"/>
        <v>2100.9590373800002</v>
      </c>
      <c r="M58" s="16">
        <f t="shared" si="2"/>
        <v>630.28771121400007</v>
      </c>
    </row>
    <row r="59" spans="1:13" ht="33.75" x14ac:dyDescent="0.25">
      <c r="A59" s="5" t="s">
        <v>13</v>
      </c>
      <c r="B59" s="6" t="s">
        <v>14</v>
      </c>
      <c r="C59" s="6" t="s">
        <v>15</v>
      </c>
      <c r="D59" s="6" t="s">
        <v>16</v>
      </c>
      <c r="E59" s="6" t="s">
        <v>3</v>
      </c>
      <c r="F59" s="6" t="s">
        <v>17</v>
      </c>
      <c r="G59" s="5" t="s">
        <v>83</v>
      </c>
      <c r="H59" s="6" t="s">
        <v>28</v>
      </c>
      <c r="I59" s="7">
        <v>700</v>
      </c>
      <c r="J59" s="6" t="s">
        <v>74</v>
      </c>
      <c r="K59" s="72"/>
      <c r="L59" s="12">
        <f t="shared" si="3"/>
        <v>2100.9590373800002</v>
      </c>
      <c r="M59" s="12">
        <f t="shared" si="2"/>
        <v>630.28771121400007</v>
      </c>
    </row>
    <row r="60" spans="1:13" ht="33.75" x14ac:dyDescent="0.25">
      <c r="A60" s="5" t="s">
        <v>13</v>
      </c>
      <c r="B60" s="6" t="s">
        <v>14</v>
      </c>
      <c r="C60" s="6" t="s">
        <v>15</v>
      </c>
      <c r="D60" s="6" t="s">
        <v>16</v>
      </c>
      <c r="E60" s="6" t="s">
        <v>3</v>
      </c>
      <c r="F60" s="6" t="s">
        <v>17</v>
      </c>
      <c r="G60" s="5" t="s">
        <v>84</v>
      </c>
      <c r="H60" s="6" t="s">
        <v>28</v>
      </c>
      <c r="I60" s="7">
        <v>700</v>
      </c>
      <c r="J60" s="6" t="s">
        <v>74</v>
      </c>
      <c r="K60" s="72"/>
      <c r="L60" s="16">
        <f t="shared" si="3"/>
        <v>2100.9590373800002</v>
      </c>
      <c r="M60" s="16">
        <f t="shared" si="2"/>
        <v>630.28771121400007</v>
      </c>
    </row>
    <row r="61" spans="1:13" x14ac:dyDescent="0.25">
      <c r="A61" s="5"/>
      <c r="B61" s="6"/>
      <c r="C61" s="6"/>
      <c r="D61" s="6"/>
      <c r="E61" s="6"/>
      <c r="F61" s="6"/>
      <c r="G61" s="5"/>
      <c r="H61" s="13" t="s">
        <v>25</v>
      </c>
      <c r="I61" s="7">
        <f>SUM(I53:I60)</f>
        <v>5600</v>
      </c>
      <c r="J61" s="6"/>
      <c r="K61" s="73"/>
      <c r="L61" s="12">
        <f>SUM(L53:L60)</f>
        <v>16807.672299040001</v>
      </c>
      <c r="M61" s="12">
        <f>SUM(M53:M60)</f>
        <v>5042.3016897120006</v>
      </c>
    </row>
    <row r="62" spans="1:13" ht="33.75" x14ac:dyDescent="0.25">
      <c r="A62" s="5" t="s">
        <v>13</v>
      </c>
      <c r="B62" s="6" t="s">
        <v>14</v>
      </c>
      <c r="C62" s="6" t="s">
        <v>15</v>
      </c>
      <c r="D62" s="6" t="s">
        <v>16</v>
      </c>
      <c r="E62" s="6" t="s">
        <v>3</v>
      </c>
      <c r="F62" s="6" t="s">
        <v>17</v>
      </c>
      <c r="G62" s="5" t="s">
        <v>85</v>
      </c>
      <c r="H62" s="6" t="s">
        <v>28</v>
      </c>
      <c r="I62" s="7">
        <v>1330</v>
      </c>
      <c r="J62" s="6" t="s">
        <v>74</v>
      </c>
      <c r="K62" s="8">
        <v>27</v>
      </c>
      <c r="L62" s="15">
        <f>0.133*255.26*117.5809</f>
        <v>3991.8221710219996</v>
      </c>
      <c r="M62" s="15">
        <f>L62*0.3</f>
        <v>1197.5466513065999</v>
      </c>
    </row>
    <row r="63" spans="1:13" ht="33.75" x14ac:dyDescent="0.25">
      <c r="A63" s="5" t="s">
        <v>13</v>
      </c>
      <c r="B63" s="6" t="s">
        <v>14</v>
      </c>
      <c r="C63" s="6" t="s">
        <v>15</v>
      </c>
      <c r="D63" s="6" t="s">
        <v>16</v>
      </c>
      <c r="E63" s="6" t="s">
        <v>3</v>
      </c>
      <c r="F63" s="6" t="s">
        <v>17</v>
      </c>
      <c r="G63" s="5" t="s">
        <v>86</v>
      </c>
      <c r="H63" s="6" t="s">
        <v>28</v>
      </c>
      <c r="I63" s="7">
        <v>1295</v>
      </c>
      <c r="J63" s="6" t="s">
        <v>74</v>
      </c>
      <c r="K63" s="8">
        <v>28</v>
      </c>
      <c r="L63" s="9">
        <f>0.1295*255.26*117.5809</f>
        <v>3886.7742191530001</v>
      </c>
      <c r="M63" s="9">
        <f>L63*0.3</f>
        <v>1166.0322657459001</v>
      </c>
    </row>
    <row r="64" spans="1:13" ht="33.75" x14ac:dyDescent="0.25">
      <c r="A64" s="5" t="s">
        <v>13</v>
      </c>
      <c r="B64" s="6" t="s">
        <v>14</v>
      </c>
      <c r="C64" s="6" t="s">
        <v>15</v>
      </c>
      <c r="D64" s="6" t="s">
        <v>16</v>
      </c>
      <c r="E64" s="6" t="s">
        <v>3</v>
      </c>
      <c r="F64" s="6" t="s">
        <v>17</v>
      </c>
      <c r="G64" s="5" t="s">
        <v>87</v>
      </c>
      <c r="H64" s="6" t="s">
        <v>28</v>
      </c>
      <c r="I64" s="7">
        <v>1256</v>
      </c>
      <c r="J64" s="6" t="s">
        <v>74</v>
      </c>
      <c r="K64" s="8">
        <v>29</v>
      </c>
      <c r="L64" s="15">
        <f>0.1256*255.26*117.5809</f>
        <v>3769.7207870703992</v>
      </c>
      <c r="M64" s="15">
        <f>L64*0.3</f>
        <v>1130.9162361211197</v>
      </c>
    </row>
    <row r="65" spans="1:15" ht="33.75" x14ac:dyDescent="0.25">
      <c r="A65" s="5" t="s">
        <v>13</v>
      </c>
      <c r="B65" s="6" t="s">
        <v>14</v>
      </c>
      <c r="C65" s="6" t="s">
        <v>15</v>
      </c>
      <c r="D65" s="6" t="s">
        <v>16</v>
      </c>
      <c r="E65" s="6" t="s">
        <v>3</v>
      </c>
      <c r="F65" s="6" t="s">
        <v>17</v>
      </c>
      <c r="G65" s="5" t="s">
        <v>88</v>
      </c>
      <c r="H65" s="6" t="s">
        <v>28</v>
      </c>
      <c r="I65" s="7">
        <v>1217</v>
      </c>
      <c r="J65" s="6" t="s">
        <v>74</v>
      </c>
      <c r="K65" s="8">
        <v>30</v>
      </c>
      <c r="L65" s="9">
        <f>0.1217*255.26*117.5809</f>
        <v>3652.6673549877996</v>
      </c>
      <c r="M65" s="9">
        <f>L65*0.3</f>
        <v>1095.8002064963398</v>
      </c>
    </row>
    <row r="66" spans="1:15" ht="33.75" x14ac:dyDescent="0.25">
      <c r="A66" s="5" t="s">
        <v>13</v>
      </c>
      <c r="B66" s="6" t="s">
        <v>14</v>
      </c>
      <c r="C66" s="6" t="s">
        <v>15</v>
      </c>
      <c r="D66" s="6" t="s">
        <v>16</v>
      </c>
      <c r="E66" s="6" t="s">
        <v>3</v>
      </c>
      <c r="F66" s="6" t="s">
        <v>17</v>
      </c>
      <c r="G66" s="5" t="s">
        <v>89</v>
      </c>
      <c r="H66" s="6" t="s">
        <v>28</v>
      </c>
      <c r="I66" s="7">
        <v>1178</v>
      </c>
      <c r="J66" s="6" t="s">
        <v>74</v>
      </c>
      <c r="K66" s="8">
        <v>31</v>
      </c>
      <c r="L66" s="15">
        <f>0.1178*255.26*117.5809</f>
        <v>3535.6139229051996</v>
      </c>
      <c r="M66" s="15">
        <f>L66*0.3</f>
        <v>1060.6841768715599</v>
      </c>
    </row>
    <row r="67" spans="1:15" ht="33.75" x14ac:dyDescent="0.25">
      <c r="A67" s="5" t="s">
        <v>13</v>
      </c>
      <c r="B67" s="6" t="s">
        <v>14</v>
      </c>
      <c r="C67" s="6" t="s">
        <v>15</v>
      </c>
      <c r="D67" s="6" t="s">
        <v>16</v>
      </c>
      <c r="E67" s="6" t="s">
        <v>3</v>
      </c>
      <c r="F67" s="6" t="s">
        <v>17</v>
      </c>
      <c r="G67" s="5" t="s">
        <v>90</v>
      </c>
      <c r="H67" s="6" t="s">
        <v>28</v>
      </c>
      <c r="I67" s="7">
        <v>1139</v>
      </c>
      <c r="J67" s="6" t="s">
        <v>74</v>
      </c>
      <c r="K67" s="8">
        <v>32</v>
      </c>
      <c r="L67" s="9">
        <f>0.1139*255.26*117.5809</f>
        <v>3418.5604908225996</v>
      </c>
      <c r="M67" s="9">
        <f t="shared" ref="M67:M75" si="4">L67*0.3</f>
        <v>1025.5681472467797</v>
      </c>
    </row>
    <row r="68" spans="1:15" ht="33.75" x14ac:dyDescent="0.25">
      <c r="A68" s="5" t="s">
        <v>13</v>
      </c>
      <c r="B68" s="6" t="s">
        <v>14</v>
      </c>
      <c r="C68" s="6" t="s">
        <v>15</v>
      </c>
      <c r="D68" s="6" t="s">
        <v>16</v>
      </c>
      <c r="E68" s="6" t="s">
        <v>3</v>
      </c>
      <c r="F68" s="6" t="s">
        <v>17</v>
      </c>
      <c r="G68" s="5" t="s">
        <v>91</v>
      </c>
      <c r="H68" s="6" t="s">
        <v>28</v>
      </c>
      <c r="I68" s="7">
        <v>882</v>
      </c>
      <c r="J68" s="6" t="s">
        <v>74</v>
      </c>
      <c r="K68" s="8">
        <v>33</v>
      </c>
      <c r="L68" s="15">
        <f>0.0882*255.26*117.5809</f>
        <v>2647.2083870987999</v>
      </c>
      <c r="M68" s="15">
        <f t="shared" si="4"/>
        <v>794.16251612963993</v>
      </c>
    </row>
    <row r="69" spans="1:15" ht="22.5" x14ac:dyDescent="0.25">
      <c r="A69" s="5" t="s">
        <v>13</v>
      </c>
      <c r="B69" s="6" t="s">
        <v>14</v>
      </c>
      <c r="C69" s="6" t="s">
        <v>15</v>
      </c>
      <c r="D69" s="6" t="s">
        <v>16</v>
      </c>
      <c r="E69" s="6" t="s">
        <v>3</v>
      </c>
      <c r="F69" s="6" t="s">
        <v>17</v>
      </c>
      <c r="G69" s="5" t="s">
        <v>92</v>
      </c>
      <c r="H69" s="6" t="s">
        <v>28</v>
      </c>
      <c r="I69" s="7">
        <v>827</v>
      </c>
      <c r="J69" s="6" t="s">
        <v>20</v>
      </c>
      <c r="K69" s="8">
        <v>34</v>
      </c>
      <c r="L69" s="9">
        <f>0.0827*255.26*117.5809</f>
        <v>2482.1330341618</v>
      </c>
      <c r="M69" s="9">
        <f t="shared" si="4"/>
        <v>744.63991024853999</v>
      </c>
    </row>
    <row r="70" spans="1:15" ht="22.5" x14ac:dyDescent="0.25">
      <c r="A70" s="5" t="s">
        <v>13</v>
      </c>
      <c r="B70" s="6" t="s">
        <v>14</v>
      </c>
      <c r="C70" s="6" t="s">
        <v>15</v>
      </c>
      <c r="D70" s="6" t="s">
        <v>16</v>
      </c>
      <c r="E70" s="6" t="s">
        <v>3</v>
      </c>
      <c r="F70" s="6" t="s">
        <v>17</v>
      </c>
      <c r="G70" s="5" t="s">
        <v>93</v>
      </c>
      <c r="H70" s="6" t="s">
        <v>28</v>
      </c>
      <c r="I70" s="7">
        <v>581</v>
      </c>
      <c r="J70" s="6" t="s">
        <v>20</v>
      </c>
      <c r="K70" s="8">
        <v>35</v>
      </c>
      <c r="L70" s="15">
        <f>0.0581*255.26*117.5809</f>
        <v>1743.7960010253998</v>
      </c>
      <c r="M70" s="15">
        <f t="shared" si="4"/>
        <v>523.13880030761993</v>
      </c>
    </row>
    <row r="71" spans="1:15" ht="22.5" x14ac:dyDescent="0.25">
      <c r="A71" s="5" t="s">
        <v>13</v>
      </c>
      <c r="B71" s="6" t="s">
        <v>14</v>
      </c>
      <c r="C71" s="6" t="s">
        <v>15</v>
      </c>
      <c r="D71" s="6" t="s">
        <v>16</v>
      </c>
      <c r="E71" s="6" t="s">
        <v>3</v>
      </c>
      <c r="F71" s="6" t="s">
        <v>17</v>
      </c>
      <c r="G71" s="5" t="s">
        <v>94</v>
      </c>
      <c r="H71" s="6" t="s">
        <v>28</v>
      </c>
      <c r="I71" s="7">
        <v>582</v>
      </c>
      <c r="J71" s="6" t="s">
        <v>20</v>
      </c>
      <c r="K71" s="8">
        <v>36</v>
      </c>
      <c r="L71" s="9">
        <f>0.0582*255.26*117.5809</f>
        <v>1746.7973710788001</v>
      </c>
      <c r="M71" s="9">
        <f t="shared" si="4"/>
        <v>524.03921132363996</v>
      </c>
    </row>
    <row r="72" spans="1:15" ht="22.5" x14ac:dyDescent="0.25">
      <c r="A72" s="5" t="s">
        <v>13</v>
      </c>
      <c r="B72" s="6" t="s">
        <v>14</v>
      </c>
      <c r="C72" s="6" t="s">
        <v>15</v>
      </c>
      <c r="D72" s="6" t="s">
        <v>16</v>
      </c>
      <c r="E72" s="6" t="s">
        <v>3</v>
      </c>
      <c r="F72" s="6" t="s">
        <v>17</v>
      </c>
      <c r="G72" s="5" t="s">
        <v>95</v>
      </c>
      <c r="H72" s="6" t="s">
        <v>28</v>
      </c>
      <c r="I72" s="7">
        <v>795</v>
      </c>
      <c r="J72" s="6" t="s">
        <v>20</v>
      </c>
      <c r="K72" s="8">
        <v>37</v>
      </c>
      <c r="L72" s="15">
        <f>0.0795*255.26*117.5809</f>
        <v>2386.0891924530001</v>
      </c>
      <c r="M72" s="15">
        <f t="shared" si="4"/>
        <v>715.82675773590006</v>
      </c>
    </row>
    <row r="73" spans="1:15" ht="22.5" x14ac:dyDescent="0.25">
      <c r="A73" s="5" t="s">
        <v>13</v>
      </c>
      <c r="B73" s="6" t="s">
        <v>14</v>
      </c>
      <c r="C73" s="6" t="s">
        <v>15</v>
      </c>
      <c r="D73" s="6" t="s">
        <v>16</v>
      </c>
      <c r="E73" s="6" t="s">
        <v>3</v>
      </c>
      <c r="F73" s="6" t="s">
        <v>17</v>
      </c>
      <c r="G73" s="5" t="s">
        <v>96</v>
      </c>
      <c r="H73" s="6" t="s">
        <v>54</v>
      </c>
      <c r="I73" s="7">
        <v>540</v>
      </c>
      <c r="J73" s="6" t="s">
        <v>97</v>
      </c>
      <c r="K73" s="8">
        <v>38</v>
      </c>
      <c r="L73" s="9">
        <f>0.054*40.39*117.5809</f>
        <v>256.45099775400001</v>
      </c>
      <c r="M73" s="9">
        <f t="shared" si="4"/>
        <v>76.935299326199996</v>
      </c>
    </row>
    <row r="74" spans="1:15" ht="22.5" x14ac:dyDescent="0.25">
      <c r="A74" s="5" t="s">
        <v>13</v>
      </c>
      <c r="B74" s="6" t="s">
        <v>14</v>
      </c>
      <c r="C74" s="6" t="s">
        <v>15</v>
      </c>
      <c r="D74" s="6" t="s">
        <v>16</v>
      </c>
      <c r="E74" s="6" t="s">
        <v>3</v>
      </c>
      <c r="F74" s="6" t="s">
        <v>17</v>
      </c>
      <c r="G74" s="5" t="s">
        <v>98</v>
      </c>
      <c r="H74" s="6" t="s">
        <v>99</v>
      </c>
      <c r="I74" s="7">
        <v>922</v>
      </c>
      <c r="J74" s="6" t="s">
        <v>97</v>
      </c>
      <c r="K74" s="71">
        <v>39</v>
      </c>
      <c r="L74" s="16">
        <f>0.0922*76.58*117.5809</f>
        <v>830.20063868839998</v>
      </c>
      <c r="M74" s="16">
        <f t="shared" si="4"/>
        <v>249.06019160651999</v>
      </c>
    </row>
    <row r="75" spans="1:15" ht="22.5" x14ac:dyDescent="0.25">
      <c r="A75" s="5" t="s">
        <v>13</v>
      </c>
      <c r="B75" s="6" t="s">
        <v>14</v>
      </c>
      <c r="C75" s="6" t="s">
        <v>15</v>
      </c>
      <c r="D75" s="6" t="s">
        <v>16</v>
      </c>
      <c r="E75" s="6" t="s">
        <v>3</v>
      </c>
      <c r="F75" s="6" t="s">
        <v>17</v>
      </c>
      <c r="G75" s="5" t="s">
        <v>100</v>
      </c>
      <c r="H75" s="6" t="s">
        <v>99</v>
      </c>
      <c r="I75" s="7">
        <v>335</v>
      </c>
      <c r="J75" s="6" t="s">
        <v>97</v>
      </c>
      <c r="K75" s="72"/>
      <c r="L75" s="12">
        <f>0.0335*76.58*117.5809</f>
        <v>301.645568287</v>
      </c>
      <c r="M75" s="12">
        <f t="shared" si="4"/>
        <v>90.493670486100001</v>
      </c>
      <c r="N75" s="17"/>
      <c r="O75" s="17"/>
    </row>
    <row r="76" spans="1:15" x14ac:dyDescent="0.25">
      <c r="A76" s="5"/>
      <c r="B76" s="6"/>
      <c r="C76" s="6"/>
      <c r="D76" s="6"/>
      <c r="E76" s="6"/>
      <c r="F76" s="6"/>
      <c r="G76" s="5"/>
      <c r="H76" s="13" t="s">
        <v>25</v>
      </c>
      <c r="I76" s="7">
        <f>SUM(I74:I75)</f>
        <v>1257</v>
      </c>
      <c r="J76" s="6"/>
      <c r="K76" s="73"/>
      <c r="L76" s="15">
        <f>SUM(L74:L75)</f>
        <v>1131.8462069754</v>
      </c>
      <c r="M76" s="15">
        <f>SUM(M74:M75)</f>
        <v>339.55386209261997</v>
      </c>
    </row>
    <row r="77" spans="1:15" ht="33.75" x14ac:dyDescent="0.25">
      <c r="A77" s="5" t="s">
        <v>101</v>
      </c>
      <c r="B77" s="6" t="s">
        <v>102</v>
      </c>
      <c r="C77" s="6" t="s">
        <v>15</v>
      </c>
      <c r="D77" s="6" t="s">
        <v>16</v>
      </c>
      <c r="E77" s="6" t="s">
        <v>3</v>
      </c>
      <c r="F77" s="6" t="s">
        <v>17</v>
      </c>
      <c r="G77" s="5" t="s">
        <v>103</v>
      </c>
      <c r="H77" s="6" t="s">
        <v>28</v>
      </c>
      <c r="I77" s="7">
        <v>269</v>
      </c>
      <c r="J77" s="6" t="s">
        <v>104</v>
      </c>
      <c r="K77" s="8">
        <v>1</v>
      </c>
      <c r="L77" s="9">
        <f>0.0269*255.26*117.5809</f>
        <v>807.36854436459998</v>
      </c>
      <c r="M77" s="9">
        <f>L77*0.3</f>
        <v>242.21056330937998</v>
      </c>
    </row>
    <row r="78" spans="1:15" ht="22.5" x14ac:dyDescent="0.25">
      <c r="A78" s="5" t="s">
        <v>101</v>
      </c>
      <c r="B78" s="6" t="s">
        <v>102</v>
      </c>
      <c r="C78" s="6" t="s">
        <v>15</v>
      </c>
      <c r="D78" s="6" t="s">
        <v>16</v>
      </c>
      <c r="E78" s="6" t="s">
        <v>3</v>
      </c>
      <c r="F78" s="6" t="s">
        <v>17</v>
      </c>
      <c r="G78" s="5" t="s">
        <v>105</v>
      </c>
      <c r="H78" s="6" t="s">
        <v>28</v>
      </c>
      <c r="I78" s="7">
        <v>1065</v>
      </c>
      <c r="J78" s="6" t="s">
        <v>106</v>
      </c>
      <c r="K78" s="8">
        <v>2</v>
      </c>
      <c r="L78" s="15">
        <f>0.1065*255.26*117.5809</f>
        <v>3196.4591068709997</v>
      </c>
      <c r="M78" s="15">
        <f>L78*0.3</f>
        <v>958.93773206129981</v>
      </c>
    </row>
    <row r="79" spans="1:15" ht="22.5" x14ac:dyDescent="0.25">
      <c r="A79" s="5" t="s">
        <v>101</v>
      </c>
      <c r="B79" s="6" t="s">
        <v>102</v>
      </c>
      <c r="C79" s="6" t="s">
        <v>15</v>
      </c>
      <c r="D79" s="6" t="s">
        <v>16</v>
      </c>
      <c r="E79" s="6" t="s">
        <v>3</v>
      </c>
      <c r="F79" s="6" t="s">
        <v>17</v>
      </c>
      <c r="G79" s="5" t="s">
        <v>107</v>
      </c>
      <c r="H79" s="6" t="s">
        <v>28</v>
      </c>
      <c r="I79" s="7">
        <v>761</v>
      </c>
      <c r="J79" s="6" t="s">
        <v>106</v>
      </c>
      <c r="K79" s="8">
        <v>3</v>
      </c>
      <c r="L79" s="9">
        <f>0.0761*255.26*117.5809</f>
        <v>2284.0426106373998</v>
      </c>
      <c r="M79" s="9">
        <f>L79*0.3</f>
        <v>685.21278319121996</v>
      </c>
    </row>
    <row r="80" spans="1:15" ht="22.5" x14ac:dyDescent="0.25">
      <c r="A80" s="5" t="s">
        <v>101</v>
      </c>
      <c r="B80" s="6" t="s">
        <v>102</v>
      </c>
      <c r="C80" s="6" t="s">
        <v>15</v>
      </c>
      <c r="D80" s="6" t="s">
        <v>16</v>
      </c>
      <c r="E80" s="6" t="s">
        <v>3</v>
      </c>
      <c r="F80" s="6" t="s">
        <v>17</v>
      </c>
      <c r="G80" s="5" t="s">
        <v>108</v>
      </c>
      <c r="H80" s="6" t="s">
        <v>28</v>
      </c>
      <c r="I80" s="7">
        <v>354</v>
      </c>
      <c r="J80" s="6" t="s">
        <v>106</v>
      </c>
      <c r="K80" s="8">
        <v>4</v>
      </c>
      <c r="L80" s="15">
        <f>0.0354*255.26*117.5809</f>
        <v>1062.4849989035999</v>
      </c>
      <c r="M80" s="15">
        <f t="shared" ref="M80:M95" si="5">L80*0.3</f>
        <v>318.74549967107998</v>
      </c>
    </row>
    <row r="81" spans="1:13" ht="22.5" x14ac:dyDescent="0.25">
      <c r="A81" s="5" t="s">
        <v>101</v>
      </c>
      <c r="B81" s="6" t="s">
        <v>102</v>
      </c>
      <c r="C81" s="6" t="s">
        <v>15</v>
      </c>
      <c r="D81" s="6" t="s">
        <v>16</v>
      </c>
      <c r="E81" s="6" t="s">
        <v>3</v>
      </c>
      <c r="F81" s="6" t="s">
        <v>17</v>
      </c>
      <c r="G81" s="5" t="s">
        <v>109</v>
      </c>
      <c r="H81" s="6" t="s">
        <v>28</v>
      </c>
      <c r="I81" s="7">
        <v>337</v>
      </c>
      <c r="J81" s="6" t="s">
        <v>106</v>
      </c>
      <c r="K81" s="8">
        <v>5</v>
      </c>
      <c r="L81" s="9">
        <f>0.0337*255.26*117.5809</f>
        <v>1011.4617079958</v>
      </c>
      <c r="M81" s="9">
        <f t="shared" si="5"/>
        <v>303.43851239873999</v>
      </c>
    </row>
    <row r="82" spans="1:13" ht="22.5" x14ac:dyDescent="0.25">
      <c r="A82" s="5" t="s">
        <v>101</v>
      </c>
      <c r="B82" s="6" t="s">
        <v>102</v>
      </c>
      <c r="C82" s="6" t="s">
        <v>15</v>
      </c>
      <c r="D82" s="6" t="s">
        <v>16</v>
      </c>
      <c r="E82" s="6" t="s">
        <v>3</v>
      </c>
      <c r="F82" s="6" t="s">
        <v>17</v>
      </c>
      <c r="G82" s="5" t="s">
        <v>110</v>
      </c>
      <c r="H82" s="6" t="s">
        <v>28</v>
      </c>
      <c r="I82" s="7">
        <v>198</v>
      </c>
      <c r="J82" s="6" t="s">
        <v>106</v>
      </c>
      <c r="K82" s="8">
        <v>6</v>
      </c>
      <c r="L82" s="15">
        <f>0.0198*255.26*117.5809</f>
        <v>594.27127057320001</v>
      </c>
      <c r="M82" s="15">
        <f t="shared" si="5"/>
        <v>178.28138117195999</v>
      </c>
    </row>
    <row r="83" spans="1:13" ht="22.5" x14ac:dyDescent="0.25">
      <c r="A83" s="5" t="s">
        <v>101</v>
      </c>
      <c r="B83" s="6" t="s">
        <v>102</v>
      </c>
      <c r="C83" s="6" t="s">
        <v>15</v>
      </c>
      <c r="D83" s="6" t="s">
        <v>16</v>
      </c>
      <c r="E83" s="6" t="s">
        <v>3</v>
      </c>
      <c r="F83" s="6" t="s">
        <v>17</v>
      </c>
      <c r="G83" s="5" t="s">
        <v>111</v>
      </c>
      <c r="H83" s="6" t="s">
        <v>28</v>
      </c>
      <c r="I83" s="7">
        <v>320</v>
      </c>
      <c r="J83" s="6" t="s">
        <v>106</v>
      </c>
      <c r="K83" s="8">
        <v>7</v>
      </c>
      <c r="L83" s="9">
        <f>0.032*255.26*117.5809</f>
        <v>960.43841708799994</v>
      </c>
      <c r="M83" s="9">
        <f t="shared" si="5"/>
        <v>288.13152512639999</v>
      </c>
    </row>
    <row r="84" spans="1:13" ht="22.5" x14ac:dyDescent="0.25">
      <c r="A84" s="5" t="s">
        <v>101</v>
      </c>
      <c r="B84" s="6" t="s">
        <v>102</v>
      </c>
      <c r="C84" s="6" t="s">
        <v>15</v>
      </c>
      <c r="D84" s="6" t="s">
        <v>16</v>
      </c>
      <c r="E84" s="6" t="s">
        <v>3</v>
      </c>
      <c r="F84" s="6" t="s">
        <v>17</v>
      </c>
      <c r="G84" s="5" t="s">
        <v>112</v>
      </c>
      <c r="H84" s="6" t="s">
        <v>28</v>
      </c>
      <c r="I84" s="7">
        <v>302</v>
      </c>
      <c r="J84" s="6" t="s">
        <v>106</v>
      </c>
      <c r="K84" s="8">
        <v>8</v>
      </c>
      <c r="L84" s="15">
        <f>0.0302*255.26*117.5809</f>
        <v>906.41375612680008</v>
      </c>
      <c r="M84" s="15">
        <f t="shared" si="5"/>
        <v>271.92412683804002</v>
      </c>
    </row>
    <row r="85" spans="1:13" ht="22.5" x14ac:dyDescent="0.25">
      <c r="A85" s="5" t="s">
        <v>101</v>
      </c>
      <c r="B85" s="6" t="s">
        <v>102</v>
      </c>
      <c r="C85" s="6" t="s">
        <v>15</v>
      </c>
      <c r="D85" s="6" t="s">
        <v>16</v>
      </c>
      <c r="E85" s="6" t="s">
        <v>3</v>
      </c>
      <c r="F85" s="6" t="s">
        <v>17</v>
      </c>
      <c r="G85" s="5" t="s">
        <v>113</v>
      </c>
      <c r="H85" s="6" t="s">
        <v>28</v>
      </c>
      <c r="I85" s="7">
        <v>524</v>
      </c>
      <c r="J85" s="6" t="s">
        <v>106</v>
      </c>
      <c r="K85" s="8">
        <v>9</v>
      </c>
      <c r="L85" s="9">
        <f>0.0524*255.26*117.5809</f>
        <v>1572.7179079816001</v>
      </c>
      <c r="M85" s="9">
        <f t="shared" si="5"/>
        <v>471.81537239447999</v>
      </c>
    </row>
    <row r="86" spans="1:13" ht="22.5" x14ac:dyDescent="0.25">
      <c r="A86" s="5" t="s">
        <v>101</v>
      </c>
      <c r="B86" s="6" t="s">
        <v>102</v>
      </c>
      <c r="C86" s="6" t="s">
        <v>15</v>
      </c>
      <c r="D86" s="6" t="s">
        <v>16</v>
      </c>
      <c r="E86" s="6" t="s">
        <v>3</v>
      </c>
      <c r="F86" s="6" t="s">
        <v>17</v>
      </c>
      <c r="G86" s="5" t="s">
        <v>114</v>
      </c>
      <c r="H86" s="6" t="s">
        <v>28</v>
      </c>
      <c r="I86" s="7">
        <v>506</v>
      </c>
      <c r="J86" s="6" t="s">
        <v>106</v>
      </c>
      <c r="K86" s="8">
        <v>10</v>
      </c>
      <c r="L86" s="15">
        <f>0.0506*255.26*117.5809</f>
        <v>1518.6932470203999</v>
      </c>
      <c r="M86" s="15">
        <f t="shared" si="5"/>
        <v>455.60797410611997</v>
      </c>
    </row>
    <row r="87" spans="1:13" ht="22.5" x14ac:dyDescent="0.25">
      <c r="A87" s="5" t="s">
        <v>101</v>
      </c>
      <c r="B87" s="6" t="s">
        <v>102</v>
      </c>
      <c r="C87" s="6" t="s">
        <v>15</v>
      </c>
      <c r="D87" s="6" t="s">
        <v>16</v>
      </c>
      <c r="E87" s="6" t="s">
        <v>3</v>
      </c>
      <c r="F87" s="6" t="s">
        <v>17</v>
      </c>
      <c r="G87" s="5" t="s">
        <v>115</v>
      </c>
      <c r="H87" s="6" t="s">
        <v>28</v>
      </c>
      <c r="I87" s="7">
        <v>1042</v>
      </c>
      <c r="J87" s="6" t="s">
        <v>106</v>
      </c>
      <c r="K87" s="8">
        <v>11</v>
      </c>
      <c r="L87" s="9">
        <f>0.1042*255.26*117.5809</f>
        <v>3127.4275956427996</v>
      </c>
      <c r="M87" s="9">
        <f t="shared" si="5"/>
        <v>938.22827869283981</v>
      </c>
    </row>
    <row r="88" spans="1:13" ht="22.5" x14ac:dyDescent="0.25">
      <c r="A88" s="5" t="s">
        <v>101</v>
      </c>
      <c r="B88" s="6" t="s">
        <v>102</v>
      </c>
      <c r="C88" s="6" t="s">
        <v>15</v>
      </c>
      <c r="D88" s="6" t="s">
        <v>16</v>
      </c>
      <c r="E88" s="6" t="s">
        <v>3</v>
      </c>
      <c r="F88" s="6" t="s">
        <v>17</v>
      </c>
      <c r="G88" s="5" t="s">
        <v>116</v>
      </c>
      <c r="H88" s="6" t="s">
        <v>117</v>
      </c>
      <c r="I88" s="7">
        <v>492</v>
      </c>
      <c r="J88" s="6" t="s">
        <v>106</v>
      </c>
      <c r="K88" s="8">
        <v>12</v>
      </c>
      <c r="L88" s="15">
        <f>0.0492*227.21*117.5809</f>
        <v>1314.4053694188001</v>
      </c>
      <c r="M88" s="15">
        <f t="shared" si="5"/>
        <v>394.32161082563999</v>
      </c>
    </row>
    <row r="89" spans="1:13" ht="22.5" x14ac:dyDescent="0.25">
      <c r="A89" s="5" t="s">
        <v>101</v>
      </c>
      <c r="B89" s="6" t="s">
        <v>102</v>
      </c>
      <c r="C89" s="6" t="s">
        <v>15</v>
      </c>
      <c r="D89" s="6" t="s">
        <v>16</v>
      </c>
      <c r="E89" s="6" t="s">
        <v>3</v>
      </c>
      <c r="F89" s="6" t="s">
        <v>17</v>
      </c>
      <c r="G89" s="5" t="s">
        <v>118</v>
      </c>
      <c r="H89" s="6" t="s">
        <v>28</v>
      </c>
      <c r="I89" s="7">
        <v>442</v>
      </c>
      <c r="J89" s="6" t="s">
        <v>119</v>
      </c>
      <c r="K89" s="8">
        <v>13</v>
      </c>
      <c r="L89" s="9">
        <f>0.0442*255.26*117.5809</f>
        <v>1326.6055636028</v>
      </c>
      <c r="M89" s="9">
        <f t="shared" si="5"/>
        <v>397.98166908083999</v>
      </c>
    </row>
    <row r="90" spans="1:13" ht="33.75" x14ac:dyDescent="0.25">
      <c r="A90" s="5" t="s">
        <v>101</v>
      </c>
      <c r="B90" s="6" t="s">
        <v>102</v>
      </c>
      <c r="C90" s="6" t="s">
        <v>15</v>
      </c>
      <c r="D90" s="6" t="s">
        <v>16</v>
      </c>
      <c r="E90" s="6" t="s">
        <v>3</v>
      </c>
      <c r="F90" s="6" t="s">
        <v>17</v>
      </c>
      <c r="G90" s="5" t="s">
        <v>120</v>
      </c>
      <c r="H90" s="6" t="s">
        <v>24</v>
      </c>
      <c r="I90" s="7">
        <v>148</v>
      </c>
      <c r="J90" s="6" t="s">
        <v>104</v>
      </c>
      <c r="K90" s="8">
        <v>14</v>
      </c>
      <c r="L90" s="15">
        <f>0.0148*227.21*117.5809</f>
        <v>395.39023307720004</v>
      </c>
      <c r="M90" s="15">
        <f t="shared" si="5"/>
        <v>118.61706992316</v>
      </c>
    </row>
    <row r="91" spans="1:13" ht="33.75" x14ac:dyDescent="0.25">
      <c r="A91" s="5" t="s">
        <v>101</v>
      </c>
      <c r="B91" s="6" t="s">
        <v>102</v>
      </c>
      <c r="C91" s="6" t="s">
        <v>15</v>
      </c>
      <c r="D91" s="6" t="s">
        <v>16</v>
      </c>
      <c r="E91" s="6" t="s">
        <v>3</v>
      </c>
      <c r="F91" s="6" t="s">
        <v>17</v>
      </c>
      <c r="G91" s="5" t="s">
        <v>121</v>
      </c>
      <c r="H91" s="6" t="s">
        <v>24</v>
      </c>
      <c r="I91" s="7">
        <v>226</v>
      </c>
      <c r="J91" s="6" t="s">
        <v>104</v>
      </c>
      <c r="K91" s="8">
        <v>15</v>
      </c>
      <c r="L91" s="9">
        <f>0.0226*227.21*117.5809</f>
        <v>603.77157213140003</v>
      </c>
      <c r="M91" s="9">
        <f t="shared" si="5"/>
        <v>181.13147163942</v>
      </c>
    </row>
    <row r="92" spans="1:13" ht="33.75" x14ac:dyDescent="0.25">
      <c r="A92" s="5" t="s">
        <v>101</v>
      </c>
      <c r="B92" s="6" t="s">
        <v>102</v>
      </c>
      <c r="C92" s="6" t="s">
        <v>15</v>
      </c>
      <c r="D92" s="6" t="s">
        <v>16</v>
      </c>
      <c r="E92" s="6" t="s">
        <v>3</v>
      </c>
      <c r="F92" s="6" t="s">
        <v>17</v>
      </c>
      <c r="G92" s="5" t="s">
        <v>122</v>
      </c>
      <c r="H92" s="6" t="s">
        <v>123</v>
      </c>
      <c r="I92" s="7">
        <v>779</v>
      </c>
      <c r="J92" s="6" t="s">
        <v>104</v>
      </c>
      <c r="K92" s="8">
        <v>16</v>
      </c>
      <c r="L92" s="15">
        <f>0.0779*227.21*117.5809</f>
        <v>2081.1418349131</v>
      </c>
      <c r="M92" s="15">
        <f t="shared" si="5"/>
        <v>624.34255047392992</v>
      </c>
    </row>
    <row r="93" spans="1:13" ht="22.5" x14ac:dyDescent="0.25">
      <c r="A93" s="5" t="s">
        <v>101</v>
      </c>
      <c r="B93" s="6" t="s">
        <v>102</v>
      </c>
      <c r="C93" s="6" t="s">
        <v>15</v>
      </c>
      <c r="D93" s="6" t="s">
        <v>16</v>
      </c>
      <c r="E93" s="6" t="s">
        <v>3</v>
      </c>
      <c r="F93" s="6" t="s">
        <v>17</v>
      </c>
      <c r="G93" s="5" t="s">
        <v>124</v>
      </c>
      <c r="H93" s="6" t="s">
        <v>125</v>
      </c>
      <c r="I93" s="7">
        <v>1718</v>
      </c>
      <c r="J93" s="6" t="s">
        <v>126</v>
      </c>
      <c r="K93" s="8">
        <v>17</v>
      </c>
      <c r="L93" s="9">
        <f>0.1718*201.96*117.5809</f>
        <v>4079.6725052952002</v>
      </c>
      <c r="M93" s="9">
        <f t="shared" si="5"/>
        <v>1223.90175158856</v>
      </c>
    </row>
    <row r="94" spans="1:13" ht="22.5" x14ac:dyDescent="0.25">
      <c r="A94" s="5" t="s">
        <v>101</v>
      </c>
      <c r="B94" s="6" t="s">
        <v>102</v>
      </c>
      <c r="C94" s="6" t="s">
        <v>15</v>
      </c>
      <c r="D94" s="6" t="s">
        <v>16</v>
      </c>
      <c r="E94" s="6" t="s">
        <v>3</v>
      </c>
      <c r="F94" s="6" t="s">
        <v>17</v>
      </c>
      <c r="G94" s="5" t="s">
        <v>127</v>
      </c>
      <c r="H94" s="6" t="s">
        <v>24</v>
      </c>
      <c r="I94" s="7">
        <v>2717</v>
      </c>
      <c r="J94" s="6" t="s">
        <v>126</v>
      </c>
      <c r="K94" s="71">
        <v>18</v>
      </c>
      <c r="L94" s="16">
        <f>0.2717*227.21*117.5809</f>
        <v>7258.6166437212996</v>
      </c>
      <c r="M94" s="16">
        <f t="shared" si="5"/>
        <v>2177.5849931163898</v>
      </c>
    </row>
    <row r="95" spans="1:13" ht="22.5" x14ac:dyDescent="0.25">
      <c r="A95" s="5" t="s">
        <v>101</v>
      </c>
      <c r="B95" s="6" t="s">
        <v>102</v>
      </c>
      <c r="C95" s="6" t="s">
        <v>15</v>
      </c>
      <c r="D95" s="6" t="s">
        <v>16</v>
      </c>
      <c r="E95" s="6" t="s">
        <v>3</v>
      </c>
      <c r="F95" s="6" t="s">
        <v>17</v>
      </c>
      <c r="G95" s="5" t="s">
        <v>128</v>
      </c>
      <c r="H95" s="6" t="s">
        <v>24</v>
      </c>
      <c r="I95" s="7">
        <v>1883</v>
      </c>
      <c r="J95" s="6" t="s">
        <v>126</v>
      </c>
      <c r="K95" s="72"/>
      <c r="L95" s="12">
        <f>0.1883*227.21*117.5809</f>
        <v>5030.5392492186993</v>
      </c>
      <c r="M95" s="12">
        <f t="shared" si="5"/>
        <v>1509.1617747656098</v>
      </c>
    </row>
    <row r="96" spans="1:13" x14ac:dyDescent="0.25">
      <c r="A96" s="5"/>
      <c r="B96" s="6"/>
      <c r="C96" s="6"/>
      <c r="D96" s="6"/>
      <c r="E96" s="6"/>
      <c r="F96" s="6"/>
      <c r="G96" s="5"/>
      <c r="H96" s="13" t="s">
        <v>25</v>
      </c>
      <c r="I96" s="7">
        <f>SUM(I94:I95)</f>
        <v>4600</v>
      </c>
      <c r="J96" s="6"/>
      <c r="K96" s="73"/>
      <c r="L96" s="16">
        <f>SUM(L94:L95)</f>
        <v>12289.155892939998</v>
      </c>
      <c r="M96" s="16">
        <f>SUM(M94:M95)</f>
        <v>3686.7467678819994</v>
      </c>
    </row>
    <row r="97" spans="1:13" ht="22.5" x14ac:dyDescent="0.25">
      <c r="A97" s="5" t="s">
        <v>101</v>
      </c>
      <c r="B97" s="6" t="s">
        <v>102</v>
      </c>
      <c r="C97" s="6" t="s">
        <v>15</v>
      </c>
      <c r="D97" s="6" t="s">
        <v>16</v>
      </c>
      <c r="E97" s="6" t="s">
        <v>3</v>
      </c>
      <c r="F97" s="6" t="s">
        <v>17</v>
      </c>
      <c r="G97" s="5" t="s">
        <v>129</v>
      </c>
      <c r="H97" s="6" t="s">
        <v>28</v>
      </c>
      <c r="I97" s="7">
        <v>497</v>
      </c>
      <c r="J97" s="6" t="s">
        <v>130</v>
      </c>
      <c r="K97" s="8">
        <v>19</v>
      </c>
      <c r="L97" s="9">
        <f>0.0497*255.26*117.5809</f>
        <v>1491.6809165398001</v>
      </c>
      <c r="M97" s="9">
        <f t="shared" ref="M97:M103" si="6">L97*0.3</f>
        <v>447.50427496194004</v>
      </c>
    </row>
    <row r="98" spans="1:13" ht="22.5" x14ac:dyDescent="0.25">
      <c r="A98" s="5" t="s">
        <v>101</v>
      </c>
      <c r="B98" s="6" t="s">
        <v>102</v>
      </c>
      <c r="C98" s="6" t="s">
        <v>15</v>
      </c>
      <c r="D98" s="6" t="s">
        <v>16</v>
      </c>
      <c r="E98" s="6" t="s">
        <v>3</v>
      </c>
      <c r="F98" s="6" t="s">
        <v>17</v>
      </c>
      <c r="G98" s="5" t="s">
        <v>131</v>
      </c>
      <c r="H98" s="6" t="s">
        <v>125</v>
      </c>
      <c r="I98" s="7">
        <v>467</v>
      </c>
      <c r="J98" s="6" t="s">
        <v>130</v>
      </c>
      <c r="K98" s="8">
        <v>20</v>
      </c>
      <c r="L98" s="15">
        <f>0.0467*201.96*117.5809</f>
        <v>1108.9680209388</v>
      </c>
      <c r="M98" s="15">
        <f t="shared" si="6"/>
        <v>332.69040628163998</v>
      </c>
    </row>
    <row r="99" spans="1:13" ht="22.5" x14ac:dyDescent="0.25">
      <c r="A99" s="5" t="s">
        <v>101</v>
      </c>
      <c r="B99" s="6" t="s">
        <v>102</v>
      </c>
      <c r="C99" s="6" t="s">
        <v>15</v>
      </c>
      <c r="D99" s="6" t="s">
        <v>16</v>
      </c>
      <c r="E99" s="6" t="s">
        <v>3</v>
      </c>
      <c r="F99" s="6" t="s">
        <v>17</v>
      </c>
      <c r="G99" s="5" t="s">
        <v>132</v>
      </c>
      <c r="H99" s="6" t="s">
        <v>28</v>
      </c>
      <c r="I99" s="7">
        <v>501</v>
      </c>
      <c r="J99" s="6" t="s">
        <v>33</v>
      </c>
      <c r="K99" s="8">
        <v>21</v>
      </c>
      <c r="L99" s="9">
        <f>0.0501*255.26*117.5809</f>
        <v>1503.6863967534</v>
      </c>
      <c r="M99" s="9">
        <f t="shared" si="6"/>
        <v>451.10591902601999</v>
      </c>
    </row>
    <row r="100" spans="1:13" ht="22.5" x14ac:dyDescent="0.25">
      <c r="A100" s="5" t="s">
        <v>101</v>
      </c>
      <c r="B100" s="6" t="s">
        <v>102</v>
      </c>
      <c r="C100" s="6" t="s">
        <v>15</v>
      </c>
      <c r="D100" s="6" t="s">
        <v>16</v>
      </c>
      <c r="E100" s="6" t="s">
        <v>3</v>
      </c>
      <c r="F100" s="6" t="s">
        <v>17</v>
      </c>
      <c r="G100" s="5" t="s">
        <v>133</v>
      </c>
      <c r="H100" s="6" t="s">
        <v>24</v>
      </c>
      <c r="I100" s="7">
        <v>230</v>
      </c>
      <c r="J100" s="6" t="s">
        <v>130</v>
      </c>
      <c r="K100" s="8">
        <v>22</v>
      </c>
      <c r="L100" s="15">
        <f>0.023*227.21*117.5809</f>
        <v>614.45779464700001</v>
      </c>
      <c r="M100" s="15">
        <f t="shared" si="6"/>
        <v>184.33733839409999</v>
      </c>
    </row>
    <row r="101" spans="1:13" ht="22.5" x14ac:dyDescent="0.25">
      <c r="A101" s="5" t="s">
        <v>101</v>
      </c>
      <c r="B101" s="6" t="s">
        <v>102</v>
      </c>
      <c r="C101" s="6" t="s">
        <v>15</v>
      </c>
      <c r="D101" s="6" t="s">
        <v>16</v>
      </c>
      <c r="E101" s="6" t="s">
        <v>3</v>
      </c>
      <c r="F101" s="6" t="s">
        <v>17</v>
      </c>
      <c r="G101" s="5" t="s">
        <v>134</v>
      </c>
      <c r="H101" s="6" t="s">
        <v>24</v>
      </c>
      <c r="I101" s="7">
        <v>336</v>
      </c>
      <c r="J101" s="6" t="s">
        <v>130</v>
      </c>
      <c r="K101" s="8">
        <v>23</v>
      </c>
      <c r="L101" s="9">
        <f>0.0336*227.21*117.5809</f>
        <v>897.64269131039998</v>
      </c>
      <c r="M101" s="9">
        <f t="shared" si="6"/>
        <v>269.29280739311997</v>
      </c>
    </row>
    <row r="102" spans="1:13" ht="22.5" x14ac:dyDescent="0.25">
      <c r="A102" s="5" t="s">
        <v>101</v>
      </c>
      <c r="B102" s="6" t="s">
        <v>102</v>
      </c>
      <c r="C102" s="6" t="s">
        <v>15</v>
      </c>
      <c r="D102" s="6" t="s">
        <v>16</v>
      </c>
      <c r="E102" s="6" t="s">
        <v>3</v>
      </c>
      <c r="F102" s="6" t="s">
        <v>17</v>
      </c>
      <c r="G102" s="5" t="s">
        <v>135</v>
      </c>
      <c r="H102" s="6" t="s">
        <v>28</v>
      </c>
      <c r="I102" s="7">
        <v>1094</v>
      </c>
      <c r="J102" s="6" t="s">
        <v>130</v>
      </c>
      <c r="K102" s="8">
        <v>24</v>
      </c>
      <c r="L102" s="15">
        <f>0.1094*255.26*117.5809</f>
        <v>3283.4988384195999</v>
      </c>
      <c r="M102" s="15">
        <f t="shared" si="6"/>
        <v>985.04965152587988</v>
      </c>
    </row>
    <row r="103" spans="1:13" ht="22.5" x14ac:dyDescent="0.25">
      <c r="A103" s="5" t="s">
        <v>101</v>
      </c>
      <c r="B103" s="6" t="s">
        <v>102</v>
      </c>
      <c r="C103" s="6" t="s">
        <v>15</v>
      </c>
      <c r="D103" s="6" t="s">
        <v>16</v>
      </c>
      <c r="E103" s="6" t="s">
        <v>3</v>
      </c>
      <c r="F103" s="6" t="s">
        <v>17</v>
      </c>
      <c r="G103" s="5" t="s">
        <v>136</v>
      </c>
      <c r="H103" s="6" t="s">
        <v>24</v>
      </c>
      <c r="I103" s="7">
        <v>288</v>
      </c>
      <c r="J103" s="6" t="s">
        <v>130</v>
      </c>
      <c r="K103" s="8">
        <v>25</v>
      </c>
      <c r="L103" s="9">
        <f>0.0288*227.21*117.5809</f>
        <v>769.4080211232</v>
      </c>
      <c r="M103" s="9">
        <f t="shared" si="6"/>
        <v>230.82240633696</v>
      </c>
    </row>
    <row r="104" spans="1:13" ht="22.5" x14ac:dyDescent="0.25">
      <c r="A104" s="5" t="s">
        <v>101</v>
      </c>
      <c r="B104" s="6" t="s">
        <v>102</v>
      </c>
      <c r="C104" s="6" t="s">
        <v>15</v>
      </c>
      <c r="D104" s="6" t="s">
        <v>16</v>
      </c>
      <c r="E104" s="6" t="s">
        <v>3</v>
      </c>
      <c r="F104" s="6" t="s">
        <v>17</v>
      </c>
      <c r="G104" s="5" t="s">
        <v>137</v>
      </c>
      <c r="H104" s="6" t="s">
        <v>125</v>
      </c>
      <c r="I104" s="7">
        <v>301</v>
      </c>
      <c r="J104" s="6" t="s">
        <v>130</v>
      </c>
      <c r="K104" s="8">
        <v>26</v>
      </c>
      <c r="L104" s="15">
        <f>0.0301*201.96*117.5809</f>
        <v>714.77382077640004</v>
      </c>
      <c r="M104" s="15">
        <v>214.41299739551999</v>
      </c>
    </row>
    <row r="105" spans="1:13" ht="22.5" x14ac:dyDescent="0.25">
      <c r="A105" s="5" t="s">
        <v>101</v>
      </c>
      <c r="B105" s="6" t="s">
        <v>102</v>
      </c>
      <c r="C105" s="6" t="s">
        <v>15</v>
      </c>
      <c r="D105" s="6" t="s">
        <v>16</v>
      </c>
      <c r="E105" s="6" t="s">
        <v>3</v>
      </c>
      <c r="F105" s="6" t="s">
        <v>17</v>
      </c>
      <c r="G105" s="5" t="s">
        <v>138</v>
      </c>
      <c r="H105" s="6" t="s">
        <v>24</v>
      </c>
      <c r="I105" s="7">
        <v>301</v>
      </c>
      <c r="J105" s="6" t="s">
        <v>139</v>
      </c>
      <c r="K105" s="71">
        <v>27</v>
      </c>
      <c r="L105" s="12">
        <f>0.0301*227.21*117.5809</f>
        <v>804.13824429889996</v>
      </c>
      <c r="M105" s="12">
        <v>241.21993037351999</v>
      </c>
    </row>
    <row r="106" spans="1:13" ht="22.5" x14ac:dyDescent="0.25">
      <c r="A106" s="5" t="s">
        <v>101</v>
      </c>
      <c r="B106" s="6" t="s">
        <v>102</v>
      </c>
      <c r="C106" s="6" t="s">
        <v>15</v>
      </c>
      <c r="D106" s="6" t="s">
        <v>16</v>
      </c>
      <c r="E106" s="6" t="s">
        <v>3</v>
      </c>
      <c r="F106" s="6" t="s">
        <v>17</v>
      </c>
      <c r="G106" s="5" t="s">
        <v>140</v>
      </c>
      <c r="H106" s="6" t="s">
        <v>123</v>
      </c>
      <c r="I106" s="7">
        <v>584</v>
      </c>
      <c r="J106" s="6" t="s">
        <v>139</v>
      </c>
      <c r="K106" s="72"/>
      <c r="L106" s="16">
        <f>0.0584*227.21*117.5809</f>
        <v>1560.1884872776</v>
      </c>
      <c r="M106" s="16">
        <v>468.01474863167999</v>
      </c>
    </row>
    <row r="107" spans="1:13" x14ac:dyDescent="0.25">
      <c r="A107" s="5"/>
      <c r="B107" s="6"/>
      <c r="C107" s="6"/>
      <c r="D107" s="6"/>
      <c r="E107" s="6"/>
      <c r="F107" s="6"/>
      <c r="G107" s="5"/>
      <c r="H107" s="13" t="s">
        <v>25</v>
      </c>
      <c r="I107" s="7">
        <f>SUM(I105:I106)</f>
        <v>885</v>
      </c>
      <c r="J107" s="6"/>
      <c r="K107" s="73"/>
      <c r="L107" s="9">
        <f>SUM(L105:L106)</f>
        <v>2364.3267315764997</v>
      </c>
      <c r="M107" s="9">
        <f>SUM(M105:M106)</f>
        <v>709.23467900519995</v>
      </c>
    </row>
    <row r="108" spans="1:13" ht="22.5" x14ac:dyDescent="0.25">
      <c r="A108" s="5" t="s">
        <v>101</v>
      </c>
      <c r="B108" s="6" t="s">
        <v>102</v>
      </c>
      <c r="C108" s="6" t="s">
        <v>15</v>
      </c>
      <c r="D108" s="6" t="s">
        <v>16</v>
      </c>
      <c r="E108" s="6" t="s">
        <v>3</v>
      </c>
      <c r="F108" s="6" t="s">
        <v>17</v>
      </c>
      <c r="G108" s="5" t="s">
        <v>141</v>
      </c>
      <c r="H108" s="6" t="s">
        <v>24</v>
      </c>
      <c r="I108" s="7">
        <v>125</v>
      </c>
      <c r="J108" s="6" t="s">
        <v>139</v>
      </c>
      <c r="K108" s="8">
        <v>28</v>
      </c>
      <c r="L108" s="15">
        <f>0.0125*227.21*117.5809</f>
        <v>333.94445361250007</v>
      </c>
      <c r="M108" s="15">
        <v>100.17438969</v>
      </c>
    </row>
    <row r="109" spans="1:13" ht="22.5" x14ac:dyDescent="0.25">
      <c r="A109" s="5" t="s">
        <v>101</v>
      </c>
      <c r="B109" s="6" t="s">
        <v>102</v>
      </c>
      <c r="C109" s="6" t="s">
        <v>15</v>
      </c>
      <c r="D109" s="6" t="s">
        <v>16</v>
      </c>
      <c r="E109" s="6" t="s">
        <v>3</v>
      </c>
      <c r="F109" s="6" t="s">
        <v>17</v>
      </c>
      <c r="G109" s="5" t="s">
        <v>142</v>
      </c>
      <c r="H109" s="6" t="s">
        <v>24</v>
      </c>
      <c r="I109" s="7">
        <v>118</v>
      </c>
      <c r="J109" s="6" t="s">
        <v>139</v>
      </c>
      <c r="K109" s="8">
        <v>29</v>
      </c>
      <c r="L109" s="9">
        <f>0.0118*227.21*117.5809</f>
        <v>315.24356421019996</v>
      </c>
      <c r="M109" s="9">
        <v>94.564623867359998</v>
      </c>
    </row>
    <row r="110" spans="1:13" ht="22.5" x14ac:dyDescent="0.25">
      <c r="A110" s="5" t="s">
        <v>101</v>
      </c>
      <c r="B110" s="6" t="s">
        <v>102</v>
      </c>
      <c r="C110" s="6" t="s">
        <v>15</v>
      </c>
      <c r="D110" s="6" t="s">
        <v>16</v>
      </c>
      <c r="E110" s="6" t="s">
        <v>3</v>
      </c>
      <c r="F110" s="6" t="s">
        <v>17</v>
      </c>
      <c r="G110" s="5" t="s">
        <v>143</v>
      </c>
      <c r="H110" s="6" t="s">
        <v>24</v>
      </c>
      <c r="I110" s="7">
        <v>165</v>
      </c>
      <c r="J110" s="6" t="s">
        <v>139</v>
      </c>
      <c r="K110" s="8">
        <v>30</v>
      </c>
      <c r="L110" s="15">
        <f>0.0165*227.21*117.5809</f>
        <v>440.80667876850003</v>
      </c>
      <c r="M110" s="15">
        <v>132.23019439079999</v>
      </c>
    </row>
    <row r="111" spans="1:13" ht="22.5" x14ac:dyDescent="0.25">
      <c r="A111" s="5" t="s">
        <v>101</v>
      </c>
      <c r="B111" s="6" t="s">
        <v>102</v>
      </c>
      <c r="C111" s="6" t="s">
        <v>15</v>
      </c>
      <c r="D111" s="6" t="s">
        <v>16</v>
      </c>
      <c r="E111" s="6" t="s">
        <v>3</v>
      </c>
      <c r="F111" s="6" t="s">
        <v>17</v>
      </c>
      <c r="G111" s="5" t="s">
        <v>144</v>
      </c>
      <c r="H111" s="6" t="s">
        <v>125</v>
      </c>
      <c r="I111" s="7">
        <v>281</v>
      </c>
      <c r="J111" s="6" t="s">
        <v>139</v>
      </c>
      <c r="K111" s="8">
        <v>31</v>
      </c>
      <c r="L111" s="9">
        <f>0.0281*201.96*117.5809</f>
        <v>667.2805436484</v>
      </c>
      <c r="M111" s="9">
        <f>L111*0.3</f>
        <v>200.18416309451999</v>
      </c>
    </row>
    <row r="112" spans="1:13" ht="22.5" x14ac:dyDescent="0.25">
      <c r="A112" s="5" t="s">
        <v>101</v>
      </c>
      <c r="B112" s="6" t="s">
        <v>102</v>
      </c>
      <c r="C112" s="6" t="s">
        <v>15</v>
      </c>
      <c r="D112" s="6" t="s">
        <v>16</v>
      </c>
      <c r="E112" s="6" t="s">
        <v>3</v>
      </c>
      <c r="F112" s="6" t="s">
        <v>17</v>
      </c>
      <c r="G112" s="5" t="s">
        <v>145</v>
      </c>
      <c r="H112" s="6" t="s">
        <v>24</v>
      </c>
      <c r="I112" s="7">
        <v>929</v>
      </c>
      <c r="J112" s="6" t="s">
        <v>139</v>
      </c>
      <c r="K112" s="8">
        <v>32</v>
      </c>
      <c r="L112" s="15">
        <f>0.0929*227.21*117.5809</f>
        <v>2481.8751792480998</v>
      </c>
      <c r="M112" s="15">
        <f>L112*0.3</f>
        <v>744.56255377442994</v>
      </c>
    </row>
    <row r="113" spans="1:14" ht="22.5" x14ac:dyDescent="0.25">
      <c r="A113" s="5" t="s">
        <v>101</v>
      </c>
      <c r="B113" s="6" t="s">
        <v>102</v>
      </c>
      <c r="C113" s="6" t="s">
        <v>15</v>
      </c>
      <c r="D113" s="6" t="s">
        <v>16</v>
      </c>
      <c r="E113" s="6" t="s">
        <v>3</v>
      </c>
      <c r="F113" s="6" t="s">
        <v>17</v>
      </c>
      <c r="G113" s="5" t="s">
        <v>146</v>
      </c>
      <c r="H113" s="6" t="s">
        <v>24</v>
      </c>
      <c r="I113" s="7">
        <v>363</v>
      </c>
      <c r="J113" s="6" t="s">
        <v>139</v>
      </c>
      <c r="K113" s="8">
        <v>33</v>
      </c>
      <c r="L113" s="9">
        <f>0.0363*227.21*117.5809</f>
        <v>969.77469329070004</v>
      </c>
      <c r="M113" s="9">
        <f>L113*0.3</f>
        <v>290.93240798721001</v>
      </c>
    </row>
    <row r="114" spans="1:14" ht="22.5" x14ac:dyDescent="0.25">
      <c r="A114" s="5" t="s">
        <v>101</v>
      </c>
      <c r="B114" s="6" t="s">
        <v>102</v>
      </c>
      <c r="C114" s="6" t="s">
        <v>15</v>
      </c>
      <c r="D114" s="6" t="s">
        <v>16</v>
      </c>
      <c r="E114" s="6" t="s">
        <v>3</v>
      </c>
      <c r="F114" s="6" t="s">
        <v>17</v>
      </c>
      <c r="G114" s="5" t="s">
        <v>147</v>
      </c>
      <c r="H114" s="6" t="s">
        <v>123</v>
      </c>
      <c r="I114" s="7">
        <v>318</v>
      </c>
      <c r="J114" s="6" t="s">
        <v>139</v>
      </c>
      <c r="K114" s="8">
        <v>34</v>
      </c>
      <c r="L114" s="15">
        <f>0.0318*227.21*117.5809</f>
        <v>849.55468999020002</v>
      </c>
      <c r="M114" s="15">
        <f>L114*0.3</f>
        <v>254.86640699705998</v>
      </c>
    </row>
    <row r="115" spans="1:14" ht="22.5" x14ac:dyDescent="0.25">
      <c r="A115" s="5" t="s">
        <v>101</v>
      </c>
      <c r="B115" s="6" t="s">
        <v>102</v>
      </c>
      <c r="C115" s="6" t="s">
        <v>15</v>
      </c>
      <c r="D115" s="6" t="s">
        <v>16</v>
      </c>
      <c r="E115" s="6" t="s">
        <v>3</v>
      </c>
      <c r="F115" s="6" t="s">
        <v>17</v>
      </c>
      <c r="G115" s="5" t="s">
        <v>148</v>
      </c>
      <c r="H115" s="6" t="s">
        <v>125</v>
      </c>
      <c r="I115" s="7">
        <v>349</v>
      </c>
      <c r="J115" s="6" t="s">
        <v>139</v>
      </c>
      <c r="K115" s="8">
        <v>35</v>
      </c>
      <c r="L115" s="9">
        <f>0.0349*201.96*117.5809</f>
        <v>828.75768588360006</v>
      </c>
      <c r="M115" s="9">
        <f>L115*0.3</f>
        <v>248.62730576508</v>
      </c>
    </row>
    <row r="116" spans="1:14" ht="22.5" x14ac:dyDescent="0.25">
      <c r="A116" s="5" t="s">
        <v>101</v>
      </c>
      <c r="B116" s="6" t="s">
        <v>102</v>
      </c>
      <c r="C116" s="6" t="s">
        <v>15</v>
      </c>
      <c r="D116" s="6" t="s">
        <v>16</v>
      </c>
      <c r="E116" s="6" t="s">
        <v>3</v>
      </c>
      <c r="F116" s="6" t="s">
        <v>17</v>
      </c>
      <c r="G116" s="5" t="s">
        <v>149</v>
      </c>
      <c r="H116" s="6" t="s">
        <v>24</v>
      </c>
      <c r="I116" s="7">
        <v>596</v>
      </c>
      <c r="J116" s="6" t="s">
        <v>139</v>
      </c>
      <c r="K116" s="8">
        <v>36</v>
      </c>
      <c r="L116" s="15">
        <f>0.0596*227.21*117.5809</f>
        <v>1592.2471548244</v>
      </c>
      <c r="M116" s="15">
        <f t="shared" ref="M116:M128" si="7">L116*0.3</f>
        <v>477.67414644731997</v>
      </c>
    </row>
    <row r="117" spans="1:14" ht="22.5" x14ac:dyDescent="0.25">
      <c r="A117" s="5" t="s">
        <v>101</v>
      </c>
      <c r="B117" s="6" t="s">
        <v>102</v>
      </c>
      <c r="C117" s="6" t="s">
        <v>15</v>
      </c>
      <c r="D117" s="6" t="s">
        <v>16</v>
      </c>
      <c r="E117" s="6" t="s">
        <v>3</v>
      </c>
      <c r="F117" s="6" t="s">
        <v>17</v>
      </c>
      <c r="G117" s="5" t="s">
        <v>150</v>
      </c>
      <c r="H117" s="6" t="s">
        <v>24</v>
      </c>
      <c r="I117" s="7">
        <v>448</v>
      </c>
      <c r="J117" s="6" t="s">
        <v>139</v>
      </c>
      <c r="K117" s="8">
        <v>37</v>
      </c>
      <c r="L117" s="9">
        <f>0.0448*227.21*117.5809</f>
        <v>1196.8569217472</v>
      </c>
      <c r="M117" s="9">
        <f>L117*0.3</f>
        <v>359.05707652415998</v>
      </c>
    </row>
    <row r="118" spans="1:14" ht="22.5" x14ac:dyDescent="0.25">
      <c r="A118" s="5" t="s">
        <v>101</v>
      </c>
      <c r="B118" s="6" t="s">
        <v>102</v>
      </c>
      <c r="C118" s="6" t="s">
        <v>15</v>
      </c>
      <c r="D118" s="6" t="s">
        <v>16</v>
      </c>
      <c r="E118" s="6" t="s">
        <v>3</v>
      </c>
      <c r="F118" s="6" t="s">
        <v>17</v>
      </c>
      <c r="G118" s="5" t="s">
        <v>151</v>
      </c>
      <c r="H118" s="6" t="s">
        <v>24</v>
      </c>
      <c r="I118" s="7">
        <v>885</v>
      </c>
      <c r="J118" s="6" t="s">
        <v>139</v>
      </c>
      <c r="K118" s="8">
        <v>38</v>
      </c>
      <c r="L118" s="15">
        <f>0.0885*227.21*117.5809</f>
        <v>2364.3267315764997</v>
      </c>
      <c r="M118" s="15">
        <f>L118*0.3</f>
        <v>709.29801947294993</v>
      </c>
    </row>
    <row r="119" spans="1:14" ht="22.5" x14ac:dyDescent="0.25">
      <c r="A119" s="5" t="s">
        <v>101</v>
      </c>
      <c r="B119" s="6" t="s">
        <v>102</v>
      </c>
      <c r="C119" s="6" t="s">
        <v>15</v>
      </c>
      <c r="D119" s="6" t="s">
        <v>16</v>
      </c>
      <c r="E119" s="6" t="s">
        <v>3</v>
      </c>
      <c r="F119" s="6" t="s">
        <v>17</v>
      </c>
      <c r="G119" s="5" t="s">
        <v>152</v>
      </c>
      <c r="H119" s="6" t="s">
        <v>24</v>
      </c>
      <c r="I119" s="7">
        <v>410</v>
      </c>
      <c r="J119" s="6" t="s">
        <v>139</v>
      </c>
      <c r="K119" s="8">
        <v>39</v>
      </c>
      <c r="L119" s="9">
        <f>0.041*227.21*117.5809</f>
        <v>1095.3378078490002</v>
      </c>
      <c r="M119" s="9">
        <f>L119*0.3</f>
        <v>328.60134235470008</v>
      </c>
    </row>
    <row r="120" spans="1:14" ht="22.5" x14ac:dyDescent="0.25">
      <c r="A120" s="5" t="s">
        <v>101</v>
      </c>
      <c r="B120" s="6" t="s">
        <v>102</v>
      </c>
      <c r="C120" s="6" t="s">
        <v>15</v>
      </c>
      <c r="D120" s="6" t="s">
        <v>16</v>
      </c>
      <c r="E120" s="6" t="s">
        <v>3</v>
      </c>
      <c r="F120" s="6" t="s">
        <v>17</v>
      </c>
      <c r="G120" s="5" t="s">
        <v>153</v>
      </c>
      <c r="H120" s="6" t="s">
        <v>24</v>
      </c>
      <c r="I120" s="7">
        <v>209</v>
      </c>
      <c r="J120" s="6" t="s">
        <v>139</v>
      </c>
      <c r="K120" s="8">
        <v>40</v>
      </c>
      <c r="L120" s="15">
        <f>0.0209*227.21*117.5809</f>
        <v>558.35512644009998</v>
      </c>
      <c r="M120" s="15">
        <f>L120*0.3</f>
        <v>167.50653793203</v>
      </c>
    </row>
    <row r="121" spans="1:14" ht="22.5" x14ac:dyDescent="0.25">
      <c r="A121" s="5" t="s">
        <v>101</v>
      </c>
      <c r="B121" s="6" t="s">
        <v>102</v>
      </c>
      <c r="C121" s="6" t="s">
        <v>15</v>
      </c>
      <c r="D121" s="6" t="s">
        <v>16</v>
      </c>
      <c r="E121" s="6" t="s">
        <v>3</v>
      </c>
      <c r="F121" s="6" t="s">
        <v>17</v>
      </c>
      <c r="G121" s="5" t="s">
        <v>154</v>
      </c>
      <c r="H121" s="6" t="s">
        <v>24</v>
      </c>
      <c r="I121" s="7">
        <v>221</v>
      </c>
      <c r="J121" s="6" t="s">
        <v>139</v>
      </c>
      <c r="K121" s="8">
        <v>41</v>
      </c>
      <c r="L121" s="9">
        <f>0.0221*227.21*117.5809</f>
        <v>590.41379398690003</v>
      </c>
      <c r="M121" s="9">
        <f t="shared" si="7"/>
        <v>177.12413819606999</v>
      </c>
    </row>
    <row r="122" spans="1:14" ht="22.5" x14ac:dyDescent="0.25">
      <c r="A122" s="5" t="s">
        <v>101</v>
      </c>
      <c r="B122" s="6" t="s">
        <v>102</v>
      </c>
      <c r="C122" s="6" t="s">
        <v>15</v>
      </c>
      <c r="D122" s="6" t="s">
        <v>16</v>
      </c>
      <c r="E122" s="6" t="s">
        <v>3</v>
      </c>
      <c r="F122" s="6" t="s">
        <v>17</v>
      </c>
      <c r="G122" s="5" t="s">
        <v>155</v>
      </c>
      <c r="H122" s="6" t="s">
        <v>24</v>
      </c>
      <c r="I122" s="7">
        <v>391</v>
      </c>
      <c r="J122" s="6" t="s">
        <v>139</v>
      </c>
      <c r="K122" s="8">
        <v>42</v>
      </c>
      <c r="L122" s="15">
        <f>0.0391*227.21*117.5809</f>
        <v>1044.5782508999002</v>
      </c>
      <c r="M122" s="15">
        <f t="shared" si="7"/>
        <v>313.37347526997007</v>
      </c>
    </row>
    <row r="123" spans="1:14" ht="22.5" x14ac:dyDescent="0.25">
      <c r="A123" s="5" t="s">
        <v>101</v>
      </c>
      <c r="B123" s="6" t="s">
        <v>102</v>
      </c>
      <c r="C123" s="6" t="s">
        <v>15</v>
      </c>
      <c r="D123" s="6" t="s">
        <v>16</v>
      </c>
      <c r="E123" s="6" t="s">
        <v>3</v>
      </c>
      <c r="F123" s="6" t="s">
        <v>17</v>
      </c>
      <c r="G123" s="5" t="s">
        <v>156</v>
      </c>
      <c r="H123" s="6" t="s">
        <v>24</v>
      </c>
      <c r="I123" s="7">
        <v>292</v>
      </c>
      <c r="J123" s="6" t="s">
        <v>139</v>
      </c>
      <c r="K123" s="8">
        <v>43</v>
      </c>
      <c r="L123" s="9">
        <f>0.0292*227.21*117.5809</f>
        <v>780.09424363879998</v>
      </c>
      <c r="M123" s="9">
        <f t="shared" si="7"/>
        <v>234.02827309163999</v>
      </c>
      <c r="N123" s="17"/>
    </row>
    <row r="124" spans="1:14" ht="33.75" x14ac:dyDescent="0.25">
      <c r="A124" s="5" t="s">
        <v>157</v>
      </c>
      <c r="B124" s="6" t="s">
        <v>158</v>
      </c>
      <c r="C124" s="6" t="s">
        <v>15</v>
      </c>
      <c r="D124" s="6" t="s">
        <v>16</v>
      </c>
      <c r="E124" s="6" t="s">
        <v>3</v>
      </c>
      <c r="F124" s="6" t="s">
        <v>17</v>
      </c>
      <c r="G124" s="5" t="s">
        <v>159</v>
      </c>
      <c r="H124" s="6" t="s">
        <v>160</v>
      </c>
      <c r="I124" s="7">
        <v>2032</v>
      </c>
      <c r="J124" s="6" t="s">
        <v>161</v>
      </c>
      <c r="K124" s="8">
        <v>1</v>
      </c>
      <c r="L124" s="15">
        <f>0.2032*176.72*117.5809</f>
        <v>4222.2717988735994</v>
      </c>
      <c r="M124" s="15">
        <f t="shared" si="7"/>
        <v>1266.6815396620798</v>
      </c>
    </row>
    <row r="125" spans="1:14" ht="33.75" x14ac:dyDescent="0.25">
      <c r="A125" s="5" t="s">
        <v>157</v>
      </c>
      <c r="B125" s="6" t="s">
        <v>158</v>
      </c>
      <c r="C125" s="6" t="s">
        <v>15</v>
      </c>
      <c r="D125" s="6" t="s">
        <v>16</v>
      </c>
      <c r="E125" s="6" t="s">
        <v>3</v>
      </c>
      <c r="F125" s="6" t="s">
        <v>17</v>
      </c>
      <c r="G125" s="5" t="s">
        <v>162</v>
      </c>
      <c r="H125" s="6" t="s">
        <v>54</v>
      </c>
      <c r="I125" s="7">
        <v>4148</v>
      </c>
      <c r="J125" s="6" t="s">
        <v>161</v>
      </c>
      <c r="K125" s="8">
        <v>2</v>
      </c>
      <c r="L125" s="9">
        <f>0.4148*40.39*117.5809</f>
        <v>1969.9235901548002</v>
      </c>
      <c r="M125" s="9">
        <f t="shared" si="7"/>
        <v>590.97707704644006</v>
      </c>
    </row>
    <row r="126" spans="1:14" ht="33.75" x14ac:dyDescent="0.25">
      <c r="A126" s="5" t="s">
        <v>157</v>
      </c>
      <c r="B126" s="6" t="s">
        <v>158</v>
      </c>
      <c r="C126" s="6" t="s">
        <v>15</v>
      </c>
      <c r="D126" s="6" t="s">
        <v>16</v>
      </c>
      <c r="E126" s="6" t="s">
        <v>3</v>
      </c>
      <c r="F126" s="6" t="s">
        <v>17</v>
      </c>
      <c r="G126" s="5" t="s">
        <v>163</v>
      </c>
      <c r="H126" s="6" t="s">
        <v>160</v>
      </c>
      <c r="I126" s="7">
        <v>2758</v>
      </c>
      <c r="J126" s="6" t="s">
        <v>161</v>
      </c>
      <c r="K126" s="8">
        <v>3</v>
      </c>
      <c r="L126" s="15">
        <f>0.2758*176.72*117.5809</f>
        <v>5730.8196955184003</v>
      </c>
      <c r="M126" s="15">
        <f t="shared" si="7"/>
        <v>1719.24590865552</v>
      </c>
    </row>
    <row r="127" spans="1:14" ht="33.75" x14ac:dyDescent="0.25">
      <c r="A127" s="5" t="s">
        <v>157</v>
      </c>
      <c r="B127" s="6" t="s">
        <v>158</v>
      </c>
      <c r="C127" s="6" t="s">
        <v>15</v>
      </c>
      <c r="D127" s="6" t="s">
        <v>16</v>
      </c>
      <c r="E127" s="6" t="s">
        <v>3</v>
      </c>
      <c r="F127" s="6" t="s">
        <v>17</v>
      </c>
      <c r="G127" s="5" t="s">
        <v>164</v>
      </c>
      <c r="H127" s="6" t="s">
        <v>165</v>
      </c>
      <c r="I127" s="7">
        <v>15308</v>
      </c>
      <c r="J127" s="6" t="s">
        <v>166</v>
      </c>
      <c r="K127" s="60">
        <v>4</v>
      </c>
      <c r="L127" s="12">
        <f>1.5308*35.34*117.5809</f>
        <v>6360.9470263847998</v>
      </c>
      <c r="M127" s="12">
        <f t="shared" si="7"/>
        <v>1908.2841079154398</v>
      </c>
    </row>
    <row r="128" spans="1:14" ht="33.75" x14ac:dyDescent="0.25">
      <c r="A128" s="5" t="s">
        <v>157</v>
      </c>
      <c r="B128" s="6" t="s">
        <v>158</v>
      </c>
      <c r="C128" s="6" t="s">
        <v>15</v>
      </c>
      <c r="D128" s="6" t="s">
        <v>16</v>
      </c>
      <c r="E128" s="6" t="s">
        <v>3</v>
      </c>
      <c r="F128" s="6" t="s">
        <v>17</v>
      </c>
      <c r="G128" s="5" t="s">
        <v>167</v>
      </c>
      <c r="H128" s="6" t="s">
        <v>168</v>
      </c>
      <c r="I128" s="7">
        <v>4062</v>
      </c>
      <c r="J128" s="6" t="s">
        <v>166</v>
      </c>
      <c r="K128" s="61"/>
      <c r="L128" s="16">
        <f>0.4062*11.36*117.5809</f>
        <v>542.56906754880004</v>
      </c>
      <c r="M128" s="16">
        <f t="shared" si="7"/>
        <v>162.77072026464</v>
      </c>
    </row>
    <row r="129" spans="1:16" x14ac:dyDescent="0.25">
      <c r="A129" s="5"/>
      <c r="B129" s="6"/>
      <c r="C129" s="6"/>
      <c r="D129" s="6"/>
      <c r="E129" s="6"/>
      <c r="F129" s="6"/>
      <c r="G129" s="5"/>
      <c r="H129" s="13" t="s">
        <v>25</v>
      </c>
      <c r="I129" s="7">
        <f>SUM(I127:I128)</f>
        <v>19370</v>
      </c>
      <c r="J129" s="6"/>
      <c r="K129" s="62"/>
      <c r="L129" s="9">
        <f>SUM(L127:L128)</f>
        <v>6903.5160939336001</v>
      </c>
      <c r="M129" s="9">
        <f>SUM(M127:M128)</f>
        <v>2071.0548281800798</v>
      </c>
    </row>
    <row r="130" spans="1:16" ht="22.5" x14ac:dyDescent="0.25">
      <c r="A130" s="5" t="s">
        <v>157</v>
      </c>
      <c r="B130" s="6" t="s">
        <v>158</v>
      </c>
      <c r="C130" s="6" t="s">
        <v>15</v>
      </c>
      <c r="D130" s="6" t="s">
        <v>16</v>
      </c>
      <c r="E130" s="6" t="s">
        <v>3</v>
      </c>
      <c r="F130" s="6" t="s">
        <v>17</v>
      </c>
      <c r="G130" s="5" t="s">
        <v>169</v>
      </c>
      <c r="H130" s="6" t="s">
        <v>165</v>
      </c>
      <c r="I130" s="7">
        <v>2158</v>
      </c>
      <c r="J130" s="6" t="s">
        <v>170</v>
      </c>
      <c r="K130" s="71">
        <v>5</v>
      </c>
      <c r="L130" s="16">
        <f>0.2158*35.34*117.5809</f>
        <v>896.71568349480015</v>
      </c>
      <c r="M130" s="16">
        <f>L130*0.3</f>
        <v>269.01470504844002</v>
      </c>
    </row>
    <row r="131" spans="1:16" ht="22.5" x14ac:dyDescent="0.25">
      <c r="A131" s="5" t="s">
        <v>157</v>
      </c>
      <c r="B131" s="6" t="s">
        <v>158</v>
      </c>
      <c r="C131" s="6" t="s">
        <v>15</v>
      </c>
      <c r="D131" s="6" t="s">
        <v>16</v>
      </c>
      <c r="E131" s="6" t="s">
        <v>3</v>
      </c>
      <c r="F131" s="6" t="s">
        <v>17</v>
      </c>
      <c r="G131" s="5" t="s">
        <v>171</v>
      </c>
      <c r="H131" s="6" t="s">
        <v>160</v>
      </c>
      <c r="I131" s="7">
        <v>12385</v>
      </c>
      <c r="J131" s="6" t="s">
        <v>170</v>
      </c>
      <c r="K131" s="72"/>
      <c r="L131" s="12">
        <f>1.2385*176.72*117.5809</f>
        <v>25734.663498547998</v>
      </c>
      <c r="M131" s="12">
        <f>L131*0.3</f>
        <v>7720.3990495643993</v>
      </c>
    </row>
    <row r="132" spans="1:16" x14ac:dyDescent="0.25">
      <c r="A132" s="5"/>
      <c r="B132" s="6"/>
      <c r="C132" s="6"/>
      <c r="D132" s="6"/>
      <c r="E132" s="6"/>
      <c r="F132" s="6"/>
      <c r="G132" s="5"/>
      <c r="H132" s="13" t="s">
        <v>25</v>
      </c>
      <c r="I132" s="7">
        <f>SUM(I130:I131)</f>
        <v>14543</v>
      </c>
      <c r="J132" s="6"/>
      <c r="K132" s="73"/>
      <c r="L132" s="15">
        <f>SUM(L130:L131)</f>
        <v>26631.379182042798</v>
      </c>
      <c r="M132" s="15">
        <f>SUM(M130:M131)</f>
        <v>7989.4137546128395</v>
      </c>
    </row>
    <row r="133" spans="1:16" ht="33.75" x14ac:dyDescent="0.25">
      <c r="A133" s="5" t="s">
        <v>157</v>
      </c>
      <c r="B133" s="6" t="s">
        <v>158</v>
      </c>
      <c r="C133" s="6" t="s">
        <v>15</v>
      </c>
      <c r="D133" s="6" t="s">
        <v>16</v>
      </c>
      <c r="E133" s="6" t="s">
        <v>3</v>
      </c>
      <c r="F133" s="6" t="s">
        <v>17</v>
      </c>
      <c r="G133" s="5" t="s">
        <v>172</v>
      </c>
      <c r="H133" s="6" t="s">
        <v>160</v>
      </c>
      <c r="I133" s="7">
        <v>1386</v>
      </c>
      <c r="J133" s="6" t="s">
        <v>161</v>
      </c>
      <c r="K133" s="60">
        <v>6</v>
      </c>
      <c r="L133" s="12">
        <f>0.1386*176.72*117.5809</f>
        <v>2879.9550754127999</v>
      </c>
      <c r="M133" s="12">
        <f>L133*0.3</f>
        <v>863.98652262383996</v>
      </c>
    </row>
    <row r="134" spans="1:16" ht="33.75" x14ac:dyDescent="0.25">
      <c r="A134" s="5" t="s">
        <v>157</v>
      </c>
      <c r="B134" s="6" t="s">
        <v>158</v>
      </c>
      <c r="C134" s="6" t="s">
        <v>15</v>
      </c>
      <c r="D134" s="6" t="s">
        <v>16</v>
      </c>
      <c r="E134" s="6" t="s">
        <v>3</v>
      </c>
      <c r="F134" s="6" t="s">
        <v>17</v>
      </c>
      <c r="G134" s="5" t="s">
        <v>173</v>
      </c>
      <c r="H134" s="6" t="s">
        <v>160</v>
      </c>
      <c r="I134" s="7">
        <v>1385</v>
      </c>
      <c r="J134" s="6" t="s">
        <v>161</v>
      </c>
      <c r="K134" s="61"/>
      <c r="L134" s="16">
        <f>0.1385*176.72*117.5809</f>
        <v>2877.8771857480001</v>
      </c>
      <c r="M134" s="16">
        <f>L134*0.3</f>
        <v>863.36315572440003</v>
      </c>
      <c r="N134" s="17"/>
      <c r="O134" s="17"/>
      <c r="P134" s="17"/>
    </row>
    <row r="135" spans="1:16" x14ac:dyDescent="0.25">
      <c r="A135" s="5"/>
      <c r="B135" s="6"/>
      <c r="C135" s="6"/>
      <c r="D135" s="6"/>
      <c r="E135" s="6"/>
      <c r="F135" s="6"/>
      <c r="G135" s="5"/>
      <c r="H135" s="13" t="s">
        <v>25</v>
      </c>
      <c r="I135" s="7">
        <f>SUM(I133:I134)</f>
        <v>2771</v>
      </c>
      <c r="J135" s="6"/>
      <c r="K135" s="62"/>
      <c r="L135" s="9">
        <f>SUM(L133:L134)</f>
        <v>5757.8322611608</v>
      </c>
      <c r="M135" s="9">
        <f>SUM(M133:M134)</f>
        <v>1727.3496783482401</v>
      </c>
    </row>
    <row r="136" spans="1:16" ht="22.5" x14ac:dyDescent="0.25">
      <c r="A136" s="5" t="s">
        <v>174</v>
      </c>
      <c r="B136" s="6" t="s">
        <v>175</v>
      </c>
      <c r="C136" s="6" t="s">
        <v>15</v>
      </c>
      <c r="D136" s="6" t="s">
        <v>16</v>
      </c>
      <c r="E136" s="6" t="s">
        <v>3</v>
      </c>
      <c r="F136" s="6" t="s">
        <v>17</v>
      </c>
      <c r="G136" s="5" t="s">
        <v>176</v>
      </c>
      <c r="H136" s="6" t="s">
        <v>24</v>
      </c>
      <c r="I136" s="7">
        <v>1370</v>
      </c>
      <c r="J136" s="6" t="s">
        <v>177</v>
      </c>
      <c r="K136" s="18">
        <v>1</v>
      </c>
      <c r="L136" s="19">
        <f>0.137*227.21*117.5809</f>
        <v>3660.0312115930005</v>
      </c>
      <c r="M136" s="19">
        <f t="shared" ref="M136:M143" si="8">L136*0.3</f>
        <v>1098.0093634779</v>
      </c>
    </row>
    <row r="137" spans="1:16" ht="22.5" x14ac:dyDescent="0.25">
      <c r="A137" s="5" t="s">
        <v>174</v>
      </c>
      <c r="B137" s="6" t="s">
        <v>175</v>
      </c>
      <c r="C137" s="6" t="s">
        <v>15</v>
      </c>
      <c r="D137" s="6" t="s">
        <v>16</v>
      </c>
      <c r="E137" s="6" t="s">
        <v>3</v>
      </c>
      <c r="F137" s="6" t="s">
        <v>17</v>
      </c>
      <c r="G137" s="5" t="s">
        <v>178</v>
      </c>
      <c r="H137" s="6" t="s">
        <v>179</v>
      </c>
      <c r="I137" s="7">
        <v>70</v>
      </c>
      <c r="J137" s="6" t="s">
        <v>180</v>
      </c>
      <c r="K137" s="71">
        <v>2</v>
      </c>
      <c r="L137" s="12">
        <f>0.007*280.51*117.5809</f>
        <v>230.878327813</v>
      </c>
      <c r="M137" s="12">
        <f t="shared" si="8"/>
        <v>69.263498343899997</v>
      </c>
    </row>
    <row r="138" spans="1:16" ht="22.5" x14ac:dyDescent="0.25">
      <c r="A138" s="5" t="s">
        <v>174</v>
      </c>
      <c r="B138" s="6" t="s">
        <v>175</v>
      </c>
      <c r="C138" s="6" t="s">
        <v>15</v>
      </c>
      <c r="D138" s="6" t="s">
        <v>16</v>
      </c>
      <c r="E138" s="6" t="s">
        <v>3</v>
      </c>
      <c r="F138" s="6" t="s">
        <v>17</v>
      </c>
      <c r="G138" s="5" t="s">
        <v>181</v>
      </c>
      <c r="H138" s="6" t="s">
        <v>179</v>
      </c>
      <c r="I138" s="7">
        <v>411</v>
      </c>
      <c r="J138" s="6" t="s">
        <v>180</v>
      </c>
      <c r="K138" s="72"/>
      <c r="L138" s="16">
        <f>0.0411*280.51*117.5809</f>
        <v>1355.5856104448999</v>
      </c>
      <c r="M138" s="16">
        <f t="shared" si="8"/>
        <v>406.67568313346993</v>
      </c>
    </row>
    <row r="139" spans="1:16" ht="22.5" x14ac:dyDescent="0.25">
      <c r="A139" s="5" t="s">
        <v>174</v>
      </c>
      <c r="B139" s="6" t="s">
        <v>175</v>
      </c>
      <c r="C139" s="6" t="s">
        <v>15</v>
      </c>
      <c r="D139" s="6" t="s">
        <v>16</v>
      </c>
      <c r="E139" s="6" t="s">
        <v>3</v>
      </c>
      <c r="F139" s="6" t="s">
        <v>17</v>
      </c>
      <c r="G139" s="5" t="s">
        <v>182</v>
      </c>
      <c r="H139" s="6" t="s">
        <v>179</v>
      </c>
      <c r="I139" s="7">
        <v>642</v>
      </c>
      <c r="J139" s="6" t="s">
        <v>180</v>
      </c>
      <c r="K139" s="72"/>
      <c r="L139" s="12">
        <f>0.0642*280.51*117.5809</f>
        <v>2117.4840922277999</v>
      </c>
      <c r="M139" s="12">
        <f t="shared" si="8"/>
        <v>635.24522766833991</v>
      </c>
    </row>
    <row r="140" spans="1:16" ht="22.5" x14ac:dyDescent="0.25">
      <c r="A140" s="5" t="s">
        <v>174</v>
      </c>
      <c r="B140" s="6" t="s">
        <v>175</v>
      </c>
      <c r="C140" s="6" t="s">
        <v>15</v>
      </c>
      <c r="D140" s="6" t="s">
        <v>16</v>
      </c>
      <c r="E140" s="6" t="s">
        <v>3</v>
      </c>
      <c r="F140" s="6" t="s">
        <v>17</v>
      </c>
      <c r="G140" s="5" t="s">
        <v>183</v>
      </c>
      <c r="H140" s="6" t="s">
        <v>179</v>
      </c>
      <c r="I140" s="7">
        <v>402</v>
      </c>
      <c r="J140" s="6" t="s">
        <v>180</v>
      </c>
      <c r="K140" s="72"/>
      <c r="L140" s="16">
        <f>0.0402*280.51*117.5809</f>
        <v>1325.9012540117999</v>
      </c>
      <c r="M140" s="16">
        <f t="shared" si="8"/>
        <v>397.77037620353997</v>
      </c>
    </row>
    <row r="141" spans="1:16" ht="22.5" x14ac:dyDescent="0.25">
      <c r="A141" s="5" t="s">
        <v>174</v>
      </c>
      <c r="B141" s="6" t="s">
        <v>175</v>
      </c>
      <c r="C141" s="6" t="s">
        <v>15</v>
      </c>
      <c r="D141" s="6" t="s">
        <v>16</v>
      </c>
      <c r="E141" s="6" t="s">
        <v>3</v>
      </c>
      <c r="F141" s="6" t="s">
        <v>17</v>
      </c>
      <c r="G141" s="5" t="s">
        <v>184</v>
      </c>
      <c r="H141" s="6" t="s">
        <v>179</v>
      </c>
      <c r="I141" s="7">
        <v>65</v>
      </c>
      <c r="J141" s="6" t="s">
        <v>180</v>
      </c>
      <c r="K141" s="72"/>
      <c r="L141" s="12">
        <f>0.0065*280.51*117.5809</f>
        <v>214.38701868349997</v>
      </c>
      <c r="M141" s="12">
        <f t="shared" si="8"/>
        <v>64.316105605049984</v>
      </c>
    </row>
    <row r="142" spans="1:16" ht="22.5" x14ac:dyDescent="0.25">
      <c r="A142" s="5" t="s">
        <v>174</v>
      </c>
      <c r="B142" s="6" t="s">
        <v>175</v>
      </c>
      <c r="C142" s="6" t="s">
        <v>15</v>
      </c>
      <c r="D142" s="6" t="s">
        <v>16</v>
      </c>
      <c r="E142" s="6" t="s">
        <v>3</v>
      </c>
      <c r="F142" s="6" t="s">
        <v>17</v>
      </c>
      <c r="G142" s="5" t="s">
        <v>185</v>
      </c>
      <c r="H142" s="6" t="s">
        <v>179</v>
      </c>
      <c r="I142" s="7">
        <v>782</v>
      </c>
      <c r="J142" s="6" t="s">
        <v>180</v>
      </c>
      <c r="K142" s="72"/>
      <c r="L142" s="16">
        <f>0.0782*280.51*117.5809</f>
        <v>2579.2407478537998</v>
      </c>
      <c r="M142" s="16">
        <f t="shared" si="8"/>
        <v>773.77222435613987</v>
      </c>
    </row>
    <row r="143" spans="1:16" ht="22.5" x14ac:dyDescent="0.25">
      <c r="A143" s="5" t="s">
        <v>174</v>
      </c>
      <c r="B143" s="6" t="s">
        <v>175</v>
      </c>
      <c r="C143" s="6" t="s">
        <v>15</v>
      </c>
      <c r="D143" s="6" t="s">
        <v>16</v>
      </c>
      <c r="E143" s="6" t="s">
        <v>3</v>
      </c>
      <c r="F143" s="6" t="s">
        <v>17</v>
      </c>
      <c r="G143" s="5" t="s">
        <v>186</v>
      </c>
      <c r="H143" s="6" t="s">
        <v>179</v>
      </c>
      <c r="I143" s="7">
        <v>159</v>
      </c>
      <c r="J143" s="6" t="s">
        <v>180</v>
      </c>
      <c r="K143" s="72"/>
      <c r="L143" s="12">
        <f>0.0159*280.51*117.5809</f>
        <v>524.42363031809998</v>
      </c>
      <c r="M143" s="12">
        <f t="shared" si="8"/>
        <v>157.32708909542998</v>
      </c>
    </row>
    <row r="144" spans="1:16" x14ac:dyDescent="0.25">
      <c r="A144" s="5"/>
      <c r="B144" s="6"/>
      <c r="C144" s="6"/>
      <c r="D144" s="6"/>
      <c r="E144" s="6"/>
      <c r="F144" s="6"/>
      <c r="G144" s="5"/>
      <c r="H144" s="13" t="s">
        <v>25</v>
      </c>
      <c r="I144" s="7">
        <f>SUM(I137:I143)</f>
        <v>2531</v>
      </c>
      <c r="J144" s="6"/>
      <c r="K144" s="73"/>
      <c r="L144" s="15">
        <f>SUM(L137:L143)</f>
        <v>8347.9006813528995</v>
      </c>
      <c r="M144" s="15">
        <f>SUM(M137:M143)</f>
        <v>2504.3702044058696</v>
      </c>
    </row>
    <row r="145" spans="1:13" ht="22.5" x14ac:dyDescent="0.25">
      <c r="A145" s="5" t="s">
        <v>174</v>
      </c>
      <c r="B145" s="6" t="s">
        <v>175</v>
      </c>
      <c r="C145" s="6" t="s">
        <v>15</v>
      </c>
      <c r="D145" s="6" t="s">
        <v>16</v>
      </c>
      <c r="E145" s="6" t="s">
        <v>3</v>
      </c>
      <c r="F145" s="6" t="s">
        <v>17</v>
      </c>
      <c r="G145" s="5" t="s">
        <v>187</v>
      </c>
      <c r="H145" s="6" t="s">
        <v>179</v>
      </c>
      <c r="I145" s="7">
        <v>134</v>
      </c>
      <c r="J145" s="6" t="s">
        <v>180</v>
      </c>
      <c r="K145" s="71">
        <v>3</v>
      </c>
      <c r="L145" s="20">
        <f>0.0134*280.51*117.5809</f>
        <v>441.9670846706</v>
      </c>
      <c r="M145" s="20">
        <f t="shared" ref="M145:M151" si="9">L145*0.3</f>
        <v>132.59012540117999</v>
      </c>
    </row>
    <row r="146" spans="1:13" ht="22.5" x14ac:dyDescent="0.25">
      <c r="A146" s="5" t="s">
        <v>174</v>
      </c>
      <c r="B146" s="6" t="s">
        <v>175</v>
      </c>
      <c r="C146" s="6" t="s">
        <v>15</v>
      </c>
      <c r="D146" s="6" t="s">
        <v>16</v>
      </c>
      <c r="E146" s="6" t="s">
        <v>3</v>
      </c>
      <c r="F146" s="6" t="s">
        <v>17</v>
      </c>
      <c r="G146" s="5" t="s">
        <v>188</v>
      </c>
      <c r="H146" s="6" t="s">
        <v>179</v>
      </c>
      <c r="I146" s="7">
        <v>498</v>
      </c>
      <c r="J146" s="6" t="s">
        <v>180</v>
      </c>
      <c r="K146" s="72"/>
      <c r="L146" s="21">
        <f>0.0498*280.51*117.5809</f>
        <v>1642.5343892981998</v>
      </c>
      <c r="M146" s="21">
        <f t="shared" si="9"/>
        <v>492.76031678945992</v>
      </c>
    </row>
    <row r="147" spans="1:13" ht="22.5" x14ac:dyDescent="0.25">
      <c r="A147" s="5" t="s">
        <v>174</v>
      </c>
      <c r="B147" s="6" t="s">
        <v>175</v>
      </c>
      <c r="C147" s="6" t="s">
        <v>15</v>
      </c>
      <c r="D147" s="6" t="s">
        <v>16</v>
      </c>
      <c r="E147" s="6" t="s">
        <v>3</v>
      </c>
      <c r="F147" s="6" t="s">
        <v>17</v>
      </c>
      <c r="G147" s="5" t="s">
        <v>189</v>
      </c>
      <c r="H147" s="6" t="s">
        <v>179</v>
      </c>
      <c r="I147" s="7">
        <v>665</v>
      </c>
      <c r="J147" s="6" t="s">
        <v>180</v>
      </c>
      <c r="K147" s="72"/>
      <c r="L147" s="20">
        <f>0.0665*280.51*117.5809</f>
        <v>2193.3441142235001</v>
      </c>
      <c r="M147" s="20">
        <f t="shared" si="9"/>
        <v>658.00323426705006</v>
      </c>
    </row>
    <row r="148" spans="1:13" ht="22.5" x14ac:dyDescent="0.25">
      <c r="A148" s="5" t="s">
        <v>174</v>
      </c>
      <c r="B148" s="6" t="s">
        <v>175</v>
      </c>
      <c r="C148" s="6" t="s">
        <v>15</v>
      </c>
      <c r="D148" s="6" t="s">
        <v>16</v>
      </c>
      <c r="E148" s="6" t="s">
        <v>3</v>
      </c>
      <c r="F148" s="6" t="s">
        <v>17</v>
      </c>
      <c r="G148" s="5" t="s">
        <v>190</v>
      </c>
      <c r="H148" s="6" t="s">
        <v>179</v>
      </c>
      <c r="I148" s="7">
        <v>366</v>
      </c>
      <c r="J148" s="6" t="s">
        <v>180</v>
      </c>
      <c r="K148" s="72"/>
      <c r="L148" s="21">
        <f>0.0366*280.51*117.5809</f>
        <v>1207.1638282793999</v>
      </c>
      <c r="M148" s="21">
        <f t="shared" si="9"/>
        <v>362.14914848381994</v>
      </c>
    </row>
    <row r="149" spans="1:13" ht="22.5" x14ac:dyDescent="0.25">
      <c r="A149" s="5" t="s">
        <v>174</v>
      </c>
      <c r="B149" s="6" t="s">
        <v>175</v>
      </c>
      <c r="C149" s="6" t="s">
        <v>15</v>
      </c>
      <c r="D149" s="6" t="s">
        <v>16</v>
      </c>
      <c r="E149" s="6" t="s">
        <v>3</v>
      </c>
      <c r="F149" s="6" t="s">
        <v>17</v>
      </c>
      <c r="G149" s="5" t="s">
        <v>191</v>
      </c>
      <c r="H149" s="6" t="s">
        <v>179</v>
      </c>
      <c r="I149" s="7">
        <v>38</v>
      </c>
      <c r="J149" s="6" t="s">
        <v>180</v>
      </c>
      <c r="K149" s="72"/>
      <c r="L149" s="20">
        <f>0.0038*280.51*117.5809</f>
        <v>125.33394938420001</v>
      </c>
      <c r="M149" s="20">
        <f t="shared" si="9"/>
        <v>37.60018481526</v>
      </c>
    </row>
    <row r="150" spans="1:13" ht="22.5" x14ac:dyDescent="0.25">
      <c r="A150" s="5" t="s">
        <v>174</v>
      </c>
      <c r="B150" s="6" t="s">
        <v>175</v>
      </c>
      <c r="C150" s="6" t="s">
        <v>15</v>
      </c>
      <c r="D150" s="6" t="s">
        <v>16</v>
      </c>
      <c r="E150" s="6" t="s">
        <v>3</v>
      </c>
      <c r="F150" s="6" t="s">
        <v>17</v>
      </c>
      <c r="G150" s="5" t="s">
        <v>192</v>
      </c>
      <c r="H150" s="6" t="s">
        <v>179</v>
      </c>
      <c r="I150" s="7">
        <v>833</v>
      </c>
      <c r="J150" s="6" t="s">
        <v>180</v>
      </c>
      <c r="K150" s="72"/>
      <c r="L150" s="21">
        <f>0.0833*280.51*117.5809</f>
        <v>2747.4521009747</v>
      </c>
      <c r="M150" s="21">
        <f t="shared" si="9"/>
        <v>824.23563029240995</v>
      </c>
    </row>
    <row r="151" spans="1:13" ht="22.5" x14ac:dyDescent="0.25">
      <c r="A151" s="5" t="s">
        <v>174</v>
      </c>
      <c r="B151" s="6" t="s">
        <v>175</v>
      </c>
      <c r="C151" s="6" t="s">
        <v>15</v>
      </c>
      <c r="D151" s="6" t="s">
        <v>16</v>
      </c>
      <c r="E151" s="6" t="s">
        <v>3</v>
      </c>
      <c r="F151" s="6" t="s">
        <v>17</v>
      </c>
      <c r="G151" s="5" t="s">
        <v>193</v>
      </c>
      <c r="H151" s="6" t="s">
        <v>179</v>
      </c>
      <c r="I151" s="7">
        <v>170</v>
      </c>
      <c r="J151" s="6" t="s">
        <v>180</v>
      </c>
      <c r="K151" s="72"/>
      <c r="L151" s="20">
        <f>0.017*280.51*117.5809</f>
        <v>560.70451040299997</v>
      </c>
      <c r="M151" s="20">
        <f t="shared" si="9"/>
        <v>168.21135312089999</v>
      </c>
    </row>
    <row r="152" spans="1:13" x14ac:dyDescent="0.25">
      <c r="A152" s="5"/>
      <c r="B152" s="6"/>
      <c r="C152" s="6"/>
      <c r="D152" s="6"/>
      <c r="E152" s="6"/>
      <c r="F152" s="6"/>
      <c r="G152" s="5"/>
      <c r="H152" s="13" t="s">
        <v>25</v>
      </c>
      <c r="I152" s="7">
        <f>SUM(I145:I151)</f>
        <v>2704</v>
      </c>
      <c r="J152" s="6"/>
      <c r="K152" s="73"/>
      <c r="L152" s="19">
        <f>SUM(L145:L151)</f>
        <v>8918.4999772336014</v>
      </c>
      <c r="M152" s="19">
        <f>SUM(M145:M151)</f>
        <v>2675.5499931700801</v>
      </c>
    </row>
    <row r="153" spans="1:13" ht="22.5" x14ac:dyDescent="0.25">
      <c r="A153" s="5" t="s">
        <v>174</v>
      </c>
      <c r="B153" s="6" t="s">
        <v>175</v>
      </c>
      <c r="C153" s="6" t="s">
        <v>15</v>
      </c>
      <c r="D153" s="6" t="s">
        <v>16</v>
      </c>
      <c r="E153" s="6" t="s">
        <v>3</v>
      </c>
      <c r="F153" s="6" t="s">
        <v>17</v>
      </c>
      <c r="G153" s="5" t="s">
        <v>194</v>
      </c>
      <c r="H153" s="6" t="s">
        <v>179</v>
      </c>
      <c r="I153" s="7">
        <v>160</v>
      </c>
      <c r="J153" s="6" t="s">
        <v>180</v>
      </c>
      <c r="K153" s="71">
        <v>4</v>
      </c>
      <c r="L153" s="20">
        <f>0.016*280.51*117.5809</f>
        <v>527.72189214399998</v>
      </c>
      <c r="M153" s="20">
        <f t="shared" ref="M153:M158" si="10">L153*0.3</f>
        <v>158.31656764319999</v>
      </c>
    </row>
    <row r="154" spans="1:13" ht="22.5" x14ac:dyDescent="0.25">
      <c r="A154" s="5" t="s">
        <v>174</v>
      </c>
      <c r="B154" s="6" t="s">
        <v>175</v>
      </c>
      <c r="C154" s="6" t="s">
        <v>15</v>
      </c>
      <c r="D154" s="6" t="s">
        <v>16</v>
      </c>
      <c r="E154" s="6" t="s">
        <v>3</v>
      </c>
      <c r="F154" s="6" t="s">
        <v>17</v>
      </c>
      <c r="G154" s="5" t="s">
        <v>195</v>
      </c>
      <c r="H154" s="6" t="s">
        <v>179</v>
      </c>
      <c r="I154" s="7">
        <v>296</v>
      </c>
      <c r="J154" s="6" t="s">
        <v>180</v>
      </c>
      <c r="K154" s="72"/>
      <c r="L154" s="21">
        <f>0.0296*280.51*117.5809</f>
        <v>976.28550046639998</v>
      </c>
      <c r="M154" s="21">
        <f t="shared" si="10"/>
        <v>292.88565013991996</v>
      </c>
    </row>
    <row r="155" spans="1:13" ht="22.5" x14ac:dyDescent="0.25">
      <c r="A155" s="5" t="s">
        <v>174</v>
      </c>
      <c r="B155" s="6" t="s">
        <v>175</v>
      </c>
      <c r="C155" s="6" t="s">
        <v>15</v>
      </c>
      <c r="D155" s="6" t="s">
        <v>16</v>
      </c>
      <c r="E155" s="6" t="s">
        <v>3</v>
      </c>
      <c r="F155" s="6" t="s">
        <v>17</v>
      </c>
      <c r="G155" s="5" t="s">
        <v>196</v>
      </c>
      <c r="H155" s="6" t="s">
        <v>179</v>
      </c>
      <c r="I155" s="7">
        <v>252</v>
      </c>
      <c r="J155" s="6" t="s">
        <v>180</v>
      </c>
      <c r="K155" s="72"/>
      <c r="L155" s="20">
        <f>0.0252*280.51*117.5809</f>
        <v>831.16198012680002</v>
      </c>
      <c r="M155" s="20">
        <f t="shared" si="10"/>
        <v>249.34859403804001</v>
      </c>
    </row>
    <row r="156" spans="1:13" ht="22.5" x14ac:dyDescent="0.25">
      <c r="A156" s="5" t="s">
        <v>174</v>
      </c>
      <c r="B156" s="6" t="s">
        <v>175</v>
      </c>
      <c r="C156" s="6" t="s">
        <v>15</v>
      </c>
      <c r="D156" s="6" t="s">
        <v>16</v>
      </c>
      <c r="E156" s="6" t="s">
        <v>3</v>
      </c>
      <c r="F156" s="6" t="s">
        <v>17</v>
      </c>
      <c r="G156" s="5" t="s">
        <v>197</v>
      </c>
      <c r="H156" s="6" t="s">
        <v>179</v>
      </c>
      <c r="I156" s="7">
        <v>18</v>
      </c>
      <c r="J156" s="6" t="s">
        <v>180</v>
      </c>
      <c r="K156" s="72"/>
      <c r="L156" s="21">
        <f>0.0018*280.51*117.5809</f>
        <v>59.368712866199999</v>
      </c>
      <c r="M156" s="21">
        <f t="shared" si="10"/>
        <v>17.810613859859998</v>
      </c>
    </row>
    <row r="157" spans="1:13" ht="22.5" x14ac:dyDescent="0.25">
      <c r="A157" s="5" t="s">
        <v>174</v>
      </c>
      <c r="B157" s="6" t="s">
        <v>175</v>
      </c>
      <c r="C157" s="6" t="s">
        <v>15</v>
      </c>
      <c r="D157" s="6" t="s">
        <v>16</v>
      </c>
      <c r="E157" s="6" t="s">
        <v>3</v>
      </c>
      <c r="F157" s="6" t="s">
        <v>17</v>
      </c>
      <c r="G157" s="5" t="s">
        <v>198</v>
      </c>
      <c r="H157" s="6" t="s">
        <v>179</v>
      </c>
      <c r="I157" s="7">
        <v>356</v>
      </c>
      <c r="J157" s="6" t="s">
        <v>180</v>
      </c>
      <c r="K157" s="72"/>
      <c r="L157" s="20">
        <f>0.0356*280.51*117.5809</f>
        <v>1174.1812100203999</v>
      </c>
      <c r="M157" s="20">
        <f t="shared" si="10"/>
        <v>352.25436300611995</v>
      </c>
    </row>
    <row r="158" spans="1:13" ht="22.5" x14ac:dyDescent="0.25">
      <c r="A158" s="5" t="s">
        <v>174</v>
      </c>
      <c r="B158" s="6" t="s">
        <v>175</v>
      </c>
      <c r="C158" s="6" t="s">
        <v>15</v>
      </c>
      <c r="D158" s="6" t="s">
        <v>16</v>
      </c>
      <c r="E158" s="6" t="s">
        <v>3</v>
      </c>
      <c r="F158" s="6" t="s">
        <v>17</v>
      </c>
      <c r="G158" s="5" t="s">
        <v>199</v>
      </c>
      <c r="H158" s="6" t="s">
        <v>179</v>
      </c>
      <c r="I158" s="7">
        <v>73</v>
      </c>
      <c r="J158" s="6" t="s">
        <v>180</v>
      </c>
      <c r="K158" s="72"/>
      <c r="L158" s="21">
        <f>0.0073*280.51*117.5809</f>
        <v>240.7731132907</v>
      </c>
      <c r="M158" s="21">
        <f t="shared" si="10"/>
        <v>72.231933987209999</v>
      </c>
    </row>
    <row r="159" spans="1:13" x14ac:dyDescent="0.25">
      <c r="A159" s="5"/>
      <c r="B159" s="6"/>
      <c r="C159" s="6"/>
      <c r="D159" s="6"/>
      <c r="E159" s="6"/>
      <c r="F159" s="6"/>
      <c r="G159" s="5"/>
      <c r="H159" s="13" t="s">
        <v>25</v>
      </c>
      <c r="I159" s="7">
        <f>SUM(I153:I158)</f>
        <v>1155</v>
      </c>
      <c r="J159" s="6"/>
      <c r="K159" s="73"/>
      <c r="L159" s="22">
        <f>SUM(L153:L158)</f>
        <v>3809.4924089145006</v>
      </c>
      <c r="M159" s="22">
        <f>SUM(M153:M158)</f>
        <v>1142.8477226743498</v>
      </c>
    </row>
    <row r="160" spans="1:13" ht="22.5" x14ac:dyDescent="0.25">
      <c r="A160" s="5" t="s">
        <v>174</v>
      </c>
      <c r="B160" s="6" t="s">
        <v>175</v>
      </c>
      <c r="C160" s="6" t="s">
        <v>15</v>
      </c>
      <c r="D160" s="6" t="s">
        <v>16</v>
      </c>
      <c r="E160" s="6" t="s">
        <v>3</v>
      </c>
      <c r="F160" s="6" t="s">
        <v>17</v>
      </c>
      <c r="G160" s="5" t="s">
        <v>200</v>
      </c>
      <c r="H160" s="6" t="s">
        <v>179</v>
      </c>
      <c r="I160" s="7">
        <v>64</v>
      </c>
      <c r="J160" s="6" t="s">
        <v>180</v>
      </c>
      <c r="K160" s="71">
        <v>5</v>
      </c>
      <c r="L160" s="21">
        <f>0.0064*280.51*117.5809</f>
        <v>211.0887568576</v>
      </c>
      <c r="M160" s="21">
        <f>L160*0.3</f>
        <v>63.32662705728</v>
      </c>
    </row>
    <row r="161" spans="1:13" ht="22.5" x14ac:dyDescent="0.25">
      <c r="A161" s="5" t="s">
        <v>174</v>
      </c>
      <c r="B161" s="6" t="s">
        <v>175</v>
      </c>
      <c r="C161" s="6" t="s">
        <v>15</v>
      </c>
      <c r="D161" s="6" t="s">
        <v>16</v>
      </c>
      <c r="E161" s="6" t="s">
        <v>3</v>
      </c>
      <c r="F161" s="6" t="s">
        <v>17</v>
      </c>
      <c r="G161" s="5" t="s">
        <v>201</v>
      </c>
      <c r="H161" s="6" t="s">
        <v>179</v>
      </c>
      <c r="I161" s="7">
        <v>394</v>
      </c>
      <c r="J161" s="6" t="s">
        <v>180</v>
      </c>
      <c r="K161" s="72"/>
      <c r="L161" s="20">
        <f>0.0394*280.51*117.5809</f>
        <v>1299.5151594045999</v>
      </c>
      <c r="M161" s="20">
        <f>L161*0.3</f>
        <v>389.85454782137998</v>
      </c>
    </row>
    <row r="162" spans="1:13" ht="22.5" x14ac:dyDescent="0.25">
      <c r="A162" s="5" t="s">
        <v>174</v>
      </c>
      <c r="B162" s="6" t="s">
        <v>175</v>
      </c>
      <c r="C162" s="6" t="s">
        <v>15</v>
      </c>
      <c r="D162" s="6" t="s">
        <v>16</v>
      </c>
      <c r="E162" s="6" t="s">
        <v>3</v>
      </c>
      <c r="F162" s="6" t="s">
        <v>17</v>
      </c>
      <c r="G162" s="5" t="s">
        <v>202</v>
      </c>
      <c r="H162" s="6" t="s">
        <v>179</v>
      </c>
      <c r="I162" s="7">
        <v>900</v>
      </c>
      <c r="J162" s="6" t="s">
        <v>180</v>
      </c>
      <c r="K162" s="72"/>
      <c r="L162" s="21">
        <f>0.09*280.51*117.5809</f>
        <v>2968.4356433099997</v>
      </c>
      <c r="M162" s="21">
        <f>L162*0.3</f>
        <v>890.53069299299989</v>
      </c>
    </row>
    <row r="163" spans="1:13" x14ac:dyDescent="0.25">
      <c r="A163" s="5"/>
      <c r="B163" s="6"/>
      <c r="C163" s="6"/>
      <c r="D163" s="6"/>
      <c r="E163" s="6"/>
      <c r="F163" s="6"/>
      <c r="G163" s="5"/>
      <c r="H163" s="13" t="s">
        <v>25</v>
      </c>
      <c r="I163" s="7">
        <f>SUM(I160:I162)</f>
        <v>1358</v>
      </c>
      <c r="J163" s="6"/>
      <c r="K163" s="73"/>
      <c r="L163" s="22">
        <f>SUM(L160:L162)</f>
        <v>4479.0395595721993</v>
      </c>
      <c r="M163" s="22">
        <f>SUM(M160:M162)</f>
        <v>1343.7118678716599</v>
      </c>
    </row>
    <row r="164" spans="1:13" ht="22.5" x14ac:dyDescent="0.25">
      <c r="A164" s="5" t="s">
        <v>174</v>
      </c>
      <c r="B164" s="6" t="s">
        <v>175</v>
      </c>
      <c r="C164" s="6" t="s">
        <v>15</v>
      </c>
      <c r="D164" s="6" t="s">
        <v>16</v>
      </c>
      <c r="E164" s="6" t="s">
        <v>3</v>
      </c>
      <c r="F164" s="6" t="s">
        <v>17</v>
      </c>
      <c r="G164" s="5" t="s">
        <v>203</v>
      </c>
      <c r="H164" s="6" t="s">
        <v>179</v>
      </c>
      <c r="I164" s="7">
        <v>900</v>
      </c>
      <c r="J164" s="6" t="s">
        <v>180</v>
      </c>
      <c r="K164" s="71">
        <v>6</v>
      </c>
      <c r="L164" s="21">
        <f>0.09*280.51*117.5809</f>
        <v>2968.4356433099997</v>
      </c>
      <c r="M164" s="21">
        <f t="shared" ref="M164:M170" si="11">L164*0.3</f>
        <v>890.53069299299989</v>
      </c>
    </row>
    <row r="165" spans="1:13" ht="22.5" x14ac:dyDescent="0.25">
      <c r="A165" s="5" t="s">
        <v>174</v>
      </c>
      <c r="B165" s="6" t="s">
        <v>175</v>
      </c>
      <c r="C165" s="6" t="s">
        <v>15</v>
      </c>
      <c r="D165" s="6" t="s">
        <v>16</v>
      </c>
      <c r="E165" s="6" t="s">
        <v>3</v>
      </c>
      <c r="F165" s="6" t="s">
        <v>17</v>
      </c>
      <c r="G165" s="5" t="s">
        <v>204</v>
      </c>
      <c r="H165" s="6" t="s">
        <v>179</v>
      </c>
      <c r="I165" s="7">
        <v>901</v>
      </c>
      <c r="J165" s="6" t="s">
        <v>180</v>
      </c>
      <c r="K165" s="72"/>
      <c r="L165" s="20">
        <f>0.0901*280.51*117.5809</f>
        <v>2971.7339051358999</v>
      </c>
      <c r="M165" s="20">
        <f t="shared" si="11"/>
        <v>891.52017154076998</v>
      </c>
    </row>
    <row r="166" spans="1:13" ht="22.5" x14ac:dyDescent="0.25">
      <c r="A166" s="5" t="s">
        <v>174</v>
      </c>
      <c r="B166" s="6" t="s">
        <v>175</v>
      </c>
      <c r="C166" s="6" t="s">
        <v>15</v>
      </c>
      <c r="D166" s="6" t="s">
        <v>16</v>
      </c>
      <c r="E166" s="6" t="s">
        <v>3</v>
      </c>
      <c r="F166" s="6" t="s">
        <v>17</v>
      </c>
      <c r="G166" s="5" t="s">
        <v>205</v>
      </c>
      <c r="H166" s="6" t="s">
        <v>179</v>
      </c>
      <c r="I166" s="7">
        <v>664</v>
      </c>
      <c r="J166" s="6" t="s">
        <v>180</v>
      </c>
      <c r="K166" s="72"/>
      <c r="L166" s="21">
        <f>0.0664*280.51*117.5809</f>
        <v>2190.0458523975999</v>
      </c>
      <c r="M166" s="21">
        <f t="shared" si="11"/>
        <v>657.01375571927997</v>
      </c>
    </row>
    <row r="167" spans="1:13" ht="22.5" x14ac:dyDescent="0.25">
      <c r="A167" s="5" t="s">
        <v>174</v>
      </c>
      <c r="B167" s="6" t="s">
        <v>175</v>
      </c>
      <c r="C167" s="6" t="s">
        <v>15</v>
      </c>
      <c r="D167" s="6" t="s">
        <v>16</v>
      </c>
      <c r="E167" s="6" t="s">
        <v>3</v>
      </c>
      <c r="F167" s="6" t="s">
        <v>17</v>
      </c>
      <c r="G167" s="5" t="s">
        <v>206</v>
      </c>
      <c r="H167" s="6" t="s">
        <v>179</v>
      </c>
      <c r="I167" s="7">
        <v>336</v>
      </c>
      <c r="J167" s="6" t="s">
        <v>180</v>
      </c>
      <c r="K167" s="72"/>
      <c r="L167" s="20">
        <f>0.0336*280.51*117.5809</f>
        <v>1108.2159735023997</v>
      </c>
      <c r="M167" s="20">
        <f t="shared" si="11"/>
        <v>332.46479205071989</v>
      </c>
    </row>
    <row r="168" spans="1:13" ht="22.5" x14ac:dyDescent="0.25">
      <c r="A168" s="5" t="s">
        <v>174</v>
      </c>
      <c r="B168" s="6" t="s">
        <v>175</v>
      </c>
      <c r="C168" s="6" t="s">
        <v>15</v>
      </c>
      <c r="D168" s="6" t="s">
        <v>16</v>
      </c>
      <c r="E168" s="6" t="s">
        <v>3</v>
      </c>
      <c r="F168" s="6" t="s">
        <v>17</v>
      </c>
      <c r="G168" s="5" t="s">
        <v>207</v>
      </c>
      <c r="H168" s="6" t="s">
        <v>179</v>
      </c>
      <c r="I168" s="7">
        <v>45</v>
      </c>
      <c r="J168" s="6" t="s">
        <v>180</v>
      </c>
      <c r="K168" s="72"/>
      <c r="L168" s="21">
        <f>0.0045*280.51*117.5809</f>
        <v>148.42178216549999</v>
      </c>
      <c r="M168" s="21">
        <f t="shared" si="11"/>
        <v>44.526534649649996</v>
      </c>
    </row>
    <row r="169" spans="1:13" ht="22.5" x14ac:dyDescent="0.25">
      <c r="A169" s="5" t="s">
        <v>174</v>
      </c>
      <c r="B169" s="6" t="s">
        <v>175</v>
      </c>
      <c r="C169" s="6" t="s">
        <v>15</v>
      </c>
      <c r="D169" s="6" t="s">
        <v>16</v>
      </c>
      <c r="E169" s="6" t="s">
        <v>3</v>
      </c>
      <c r="F169" s="6" t="s">
        <v>17</v>
      </c>
      <c r="G169" s="5" t="s">
        <v>208</v>
      </c>
      <c r="H169" s="6" t="s">
        <v>179</v>
      </c>
      <c r="I169" s="7">
        <v>5114</v>
      </c>
      <c r="J169" s="6" t="s">
        <v>180</v>
      </c>
      <c r="K169" s="72"/>
      <c r="L169" s="20">
        <f>0.5114*280.51*117.5809</f>
        <v>16867.3109776526</v>
      </c>
      <c r="M169" s="20">
        <f t="shared" si="11"/>
        <v>5060.1932932957798</v>
      </c>
    </row>
    <row r="170" spans="1:13" ht="22.5" x14ac:dyDescent="0.25">
      <c r="A170" s="5" t="s">
        <v>174</v>
      </c>
      <c r="B170" s="6" t="s">
        <v>175</v>
      </c>
      <c r="C170" s="6" t="s">
        <v>15</v>
      </c>
      <c r="D170" s="6" t="s">
        <v>16</v>
      </c>
      <c r="E170" s="6" t="s">
        <v>3</v>
      </c>
      <c r="F170" s="6" t="s">
        <v>17</v>
      </c>
      <c r="G170" s="5" t="s">
        <v>209</v>
      </c>
      <c r="H170" s="6" t="s">
        <v>179</v>
      </c>
      <c r="I170" s="7">
        <v>902</v>
      </c>
      <c r="J170" s="6" t="s">
        <v>180</v>
      </c>
      <c r="K170" s="72"/>
      <c r="L170" s="21">
        <f>0.0902*280.51*117.5809</f>
        <v>2975.0321669617997</v>
      </c>
      <c r="M170" s="21">
        <f t="shared" si="11"/>
        <v>892.50965008853984</v>
      </c>
    </row>
    <row r="171" spans="1:13" x14ac:dyDescent="0.25">
      <c r="A171" s="5"/>
      <c r="B171" s="6"/>
      <c r="C171" s="6"/>
      <c r="D171" s="6"/>
      <c r="E171" s="6"/>
      <c r="F171" s="6"/>
      <c r="G171" s="5"/>
      <c r="H171" s="13" t="s">
        <v>25</v>
      </c>
      <c r="I171" s="7">
        <f>SUM(I164:I170)</f>
        <v>8862</v>
      </c>
      <c r="J171" s="6"/>
      <c r="K171" s="73"/>
      <c r="L171" s="22">
        <f>SUM(L164:L170)</f>
        <v>29229.196301125798</v>
      </c>
      <c r="M171" s="22">
        <f>SUM(M164:M170)</f>
        <v>8768.7588903377382</v>
      </c>
    </row>
    <row r="172" spans="1:13" ht="22.5" x14ac:dyDescent="0.25">
      <c r="A172" s="5" t="s">
        <v>174</v>
      </c>
      <c r="B172" s="6" t="s">
        <v>175</v>
      </c>
      <c r="C172" s="6" t="s">
        <v>15</v>
      </c>
      <c r="D172" s="6" t="s">
        <v>16</v>
      </c>
      <c r="E172" s="6" t="s">
        <v>3</v>
      </c>
      <c r="F172" s="6" t="s">
        <v>17</v>
      </c>
      <c r="G172" s="5" t="s">
        <v>210</v>
      </c>
      <c r="H172" s="6" t="s">
        <v>123</v>
      </c>
      <c r="I172" s="7">
        <v>2808</v>
      </c>
      <c r="J172" s="6" t="s">
        <v>211</v>
      </c>
      <c r="K172" s="8">
        <v>7</v>
      </c>
      <c r="L172" s="19">
        <f>0.2808*227.21*117.5809</f>
        <v>7501.7282059511999</v>
      </c>
      <c r="M172" s="19">
        <f t="shared" ref="M172:M179" si="12">L172*0.3</f>
        <v>2250.5184617853597</v>
      </c>
    </row>
    <row r="173" spans="1:13" ht="22.5" x14ac:dyDescent="0.25">
      <c r="A173" s="5" t="s">
        <v>174</v>
      </c>
      <c r="B173" s="6" t="s">
        <v>175</v>
      </c>
      <c r="C173" s="6" t="s">
        <v>15</v>
      </c>
      <c r="D173" s="6" t="s">
        <v>16</v>
      </c>
      <c r="E173" s="6" t="s">
        <v>3</v>
      </c>
      <c r="F173" s="6" t="s">
        <v>17</v>
      </c>
      <c r="G173" s="5" t="s">
        <v>212</v>
      </c>
      <c r="H173" s="6" t="s">
        <v>213</v>
      </c>
      <c r="I173" s="7">
        <v>3263</v>
      </c>
      <c r="J173" s="6" t="s">
        <v>214</v>
      </c>
      <c r="K173" s="23">
        <v>8</v>
      </c>
      <c r="L173" s="22">
        <f>0.3263*84.15*117.5809</f>
        <v>3228.5534014305003</v>
      </c>
      <c r="M173" s="22">
        <f t="shared" si="12"/>
        <v>968.56602042915006</v>
      </c>
    </row>
    <row r="174" spans="1:13" ht="45" x14ac:dyDescent="0.25">
      <c r="A174" s="5" t="s">
        <v>174</v>
      </c>
      <c r="B174" s="6" t="s">
        <v>175</v>
      </c>
      <c r="C174" s="6" t="s">
        <v>15</v>
      </c>
      <c r="D174" s="6" t="s">
        <v>16</v>
      </c>
      <c r="E174" s="6" t="s">
        <v>3</v>
      </c>
      <c r="F174" s="6" t="s">
        <v>17</v>
      </c>
      <c r="G174" s="5" t="s">
        <v>215</v>
      </c>
      <c r="H174" s="6" t="s">
        <v>179</v>
      </c>
      <c r="I174" s="7">
        <v>832</v>
      </c>
      <c r="J174" s="6" t="s">
        <v>216</v>
      </c>
      <c r="K174" s="24">
        <v>9</v>
      </c>
      <c r="L174" s="19">
        <f>0.0832*280.51*117.5809</f>
        <v>2744.1538391487998</v>
      </c>
      <c r="M174" s="19">
        <f t="shared" si="12"/>
        <v>823.24615174463986</v>
      </c>
    </row>
    <row r="175" spans="1:13" ht="22.5" x14ac:dyDescent="0.25">
      <c r="A175" s="5" t="s">
        <v>174</v>
      </c>
      <c r="B175" s="6" t="s">
        <v>175</v>
      </c>
      <c r="C175" s="6" t="s">
        <v>15</v>
      </c>
      <c r="D175" s="6" t="s">
        <v>16</v>
      </c>
      <c r="E175" s="6" t="s">
        <v>3</v>
      </c>
      <c r="F175" s="6" t="s">
        <v>17</v>
      </c>
      <c r="G175" s="5" t="s">
        <v>217</v>
      </c>
      <c r="H175" s="6" t="s">
        <v>179</v>
      </c>
      <c r="I175" s="7">
        <v>106</v>
      </c>
      <c r="J175" s="6" t="s">
        <v>218</v>
      </c>
      <c r="K175" s="24">
        <v>10</v>
      </c>
      <c r="L175" s="22">
        <f>0.0106*280.51*117.5809</f>
        <v>349.61575354539997</v>
      </c>
      <c r="M175" s="22">
        <f t="shared" si="12"/>
        <v>104.88472606361999</v>
      </c>
    </row>
    <row r="176" spans="1:13" ht="45" x14ac:dyDescent="0.25">
      <c r="A176" s="5" t="s">
        <v>174</v>
      </c>
      <c r="B176" s="6" t="s">
        <v>175</v>
      </c>
      <c r="C176" s="6" t="s">
        <v>15</v>
      </c>
      <c r="D176" s="6" t="s">
        <v>16</v>
      </c>
      <c r="E176" s="6" t="s">
        <v>3</v>
      </c>
      <c r="F176" s="6" t="s">
        <v>17</v>
      </c>
      <c r="G176" s="5" t="s">
        <v>219</v>
      </c>
      <c r="H176" s="6" t="s">
        <v>179</v>
      </c>
      <c r="I176" s="7">
        <v>414</v>
      </c>
      <c r="J176" s="6" t="s">
        <v>216</v>
      </c>
      <c r="K176" s="60">
        <v>11</v>
      </c>
      <c r="L176" s="21">
        <f>0.0414*280.51*117.5809</f>
        <v>1365.4803959225999</v>
      </c>
      <c r="M176" s="21">
        <f t="shared" si="12"/>
        <v>409.64411877677998</v>
      </c>
    </row>
    <row r="177" spans="1:15" ht="22.5" x14ac:dyDescent="0.25">
      <c r="A177" s="5" t="s">
        <v>174</v>
      </c>
      <c r="B177" s="6" t="s">
        <v>175</v>
      </c>
      <c r="C177" s="6" t="s">
        <v>15</v>
      </c>
      <c r="D177" s="6" t="s">
        <v>16</v>
      </c>
      <c r="E177" s="6" t="s">
        <v>3</v>
      </c>
      <c r="F177" s="6" t="s">
        <v>17</v>
      </c>
      <c r="G177" s="5" t="s">
        <v>220</v>
      </c>
      <c r="H177" s="6" t="s">
        <v>179</v>
      </c>
      <c r="I177" s="7">
        <v>766</v>
      </c>
      <c r="J177" s="6" t="s">
        <v>218</v>
      </c>
      <c r="K177" s="61"/>
      <c r="L177" s="20">
        <f>0.0766*280.51*117.5809</f>
        <v>2526.4685586393998</v>
      </c>
      <c r="M177" s="20">
        <f t="shared" si="12"/>
        <v>757.9405675918199</v>
      </c>
    </row>
    <row r="178" spans="1:15" ht="22.5" x14ac:dyDescent="0.25">
      <c r="A178" s="5" t="s">
        <v>174</v>
      </c>
      <c r="B178" s="6" t="s">
        <v>175</v>
      </c>
      <c r="C178" s="6" t="s">
        <v>15</v>
      </c>
      <c r="D178" s="6" t="s">
        <v>16</v>
      </c>
      <c r="E178" s="6" t="s">
        <v>3</v>
      </c>
      <c r="F178" s="6" t="s">
        <v>17</v>
      </c>
      <c r="G178" s="5" t="s">
        <v>221</v>
      </c>
      <c r="H178" s="6" t="s">
        <v>179</v>
      </c>
      <c r="I178" s="7">
        <v>103</v>
      </c>
      <c r="J178" s="6" t="s">
        <v>218</v>
      </c>
      <c r="K178" s="61"/>
      <c r="L178" s="21">
        <f>0.0103*280.51*117.5809</f>
        <v>339.72096806770003</v>
      </c>
      <c r="M178" s="21">
        <f t="shared" si="12"/>
        <v>101.91629042031001</v>
      </c>
    </row>
    <row r="179" spans="1:15" ht="22.5" x14ac:dyDescent="0.25">
      <c r="A179" s="5" t="s">
        <v>174</v>
      </c>
      <c r="B179" s="6" t="s">
        <v>175</v>
      </c>
      <c r="C179" s="6" t="s">
        <v>15</v>
      </c>
      <c r="D179" s="6" t="s">
        <v>16</v>
      </c>
      <c r="E179" s="6" t="s">
        <v>3</v>
      </c>
      <c r="F179" s="6" t="s">
        <v>17</v>
      </c>
      <c r="G179" s="5" t="s">
        <v>222</v>
      </c>
      <c r="H179" s="6" t="s">
        <v>179</v>
      </c>
      <c r="I179" s="7">
        <v>770</v>
      </c>
      <c r="J179" s="6" t="s">
        <v>218</v>
      </c>
      <c r="K179" s="61"/>
      <c r="L179" s="20">
        <f>0.077*280.51*117.5809</f>
        <v>2539.6616059430003</v>
      </c>
      <c r="M179" s="20">
        <f t="shared" si="12"/>
        <v>761.89848178290003</v>
      </c>
    </row>
    <row r="180" spans="1:15" x14ac:dyDescent="0.25">
      <c r="A180" s="5"/>
      <c r="B180" s="6"/>
      <c r="C180" s="6"/>
      <c r="D180" s="6"/>
      <c r="E180" s="6"/>
      <c r="F180" s="6"/>
      <c r="G180" s="5"/>
      <c r="H180" s="13" t="s">
        <v>25</v>
      </c>
      <c r="I180" s="7">
        <f>SUM(I176:I179)</f>
        <v>2053</v>
      </c>
      <c r="J180" s="6"/>
      <c r="K180" s="62"/>
      <c r="L180" s="19">
        <f>SUM(L176:L179)</f>
        <v>6771.3315285727003</v>
      </c>
      <c r="M180" s="19">
        <f>SUM(M176:M179)</f>
        <v>2031.3994585718099</v>
      </c>
    </row>
    <row r="181" spans="1:15" ht="22.5" x14ac:dyDescent="0.25">
      <c r="A181" s="5" t="s">
        <v>174</v>
      </c>
      <c r="B181" s="6" t="s">
        <v>175</v>
      </c>
      <c r="C181" s="6" t="s">
        <v>15</v>
      </c>
      <c r="D181" s="6" t="s">
        <v>16</v>
      </c>
      <c r="E181" s="6" t="s">
        <v>3</v>
      </c>
      <c r="F181" s="6" t="s">
        <v>17</v>
      </c>
      <c r="G181" s="5" t="s">
        <v>223</v>
      </c>
      <c r="H181" s="6" t="s">
        <v>179</v>
      </c>
      <c r="I181" s="7">
        <v>116</v>
      </c>
      <c r="J181" s="6" t="s">
        <v>218</v>
      </c>
      <c r="K181" s="60">
        <v>12</v>
      </c>
      <c r="L181" s="20">
        <f>0.0116*280.51*117.5809</f>
        <v>382.59837180439996</v>
      </c>
      <c r="M181" s="20">
        <f>L181*0.3</f>
        <v>114.77951154131999</v>
      </c>
    </row>
    <row r="182" spans="1:15" ht="22.5" x14ac:dyDescent="0.25">
      <c r="A182" s="5" t="s">
        <v>174</v>
      </c>
      <c r="B182" s="6" t="s">
        <v>175</v>
      </c>
      <c r="C182" s="6" t="s">
        <v>15</v>
      </c>
      <c r="D182" s="6" t="s">
        <v>16</v>
      </c>
      <c r="E182" s="6" t="s">
        <v>3</v>
      </c>
      <c r="F182" s="6" t="s">
        <v>17</v>
      </c>
      <c r="G182" s="5" t="s">
        <v>224</v>
      </c>
      <c r="H182" s="6" t="s">
        <v>179</v>
      </c>
      <c r="I182" s="7">
        <v>114</v>
      </c>
      <c r="J182" s="6" t="s">
        <v>218</v>
      </c>
      <c r="K182" s="61"/>
      <c r="L182" s="21">
        <f>0.0114*280.51*117.5809</f>
        <v>376.00184815260002</v>
      </c>
      <c r="M182" s="21">
        <f>L182*0.3</f>
        <v>112.80055444578001</v>
      </c>
    </row>
    <row r="183" spans="1:15" x14ac:dyDescent="0.25">
      <c r="A183" s="5"/>
      <c r="B183" s="6"/>
      <c r="C183" s="6"/>
      <c r="D183" s="6"/>
      <c r="E183" s="6"/>
      <c r="F183" s="6"/>
      <c r="G183" s="5"/>
      <c r="H183" s="13" t="s">
        <v>25</v>
      </c>
      <c r="I183" s="7">
        <f>SUM(I181:I182)</f>
        <v>230</v>
      </c>
      <c r="J183" s="6"/>
      <c r="K183" s="62"/>
      <c r="L183" s="22">
        <f>SUM(L181:L182)</f>
        <v>758.60021995700004</v>
      </c>
      <c r="M183" s="22">
        <f>SUM(M181:M182)</f>
        <v>227.5800659871</v>
      </c>
    </row>
    <row r="184" spans="1:15" ht="22.5" x14ac:dyDescent="0.25">
      <c r="A184" s="5" t="s">
        <v>174</v>
      </c>
      <c r="B184" s="6" t="s">
        <v>175</v>
      </c>
      <c r="C184" s="6" t="s">
        <v>15</v>
      </c>
      <c r="D184" s="6" t="s">
        <v>16</v>
      </c>
      <c r="E184" s="6" t="s">
        <v>3</v>
      </c>
      <c r="F184" s="6" t="s">
        <v>17</v>
      </c>
      <c r="G184" s="5" t="s">
        <v>225</v>
      </c>
      <c r="H184" s="6" t="s">
        <v>179</v>
      </c>
      <c r="I184" s="7">
        <v>112</v>
      </c>
      <c r="J184" s="6" t="s">
        <v>218</v>
      </c>
      <c r="K184" s="24">
        <v>13</v>
      </c>
      <c r="L184" s="19">
        <f>0.0112*280.51*117.5809</f>
        <v>369.40532450080002</v>
      </c>
      <c r="M184" s="19">
        <f>L184*0.3</f>
        <v>110.82159735024</v>
      </c>
      <c r="N184" s="17"/>
      <c r="O184" s="17"/>
    </row>
    <row r="185" spans="1:15" ht="31.5" x14ac:dyDescent="0.25">
      <c r="A185" s="5" t="s">
        <v>226</v>
      </c>
      <c r="B185" s="6" t="s">
        <v>227</v>
      </c>
      <c r="C185" s="6" t="s">
        <v>15</v>
      </c>
      <c r="D185" s="6" t="s">
        <v>16</v>
      </c>
      <c r="E185" s="6" t="s">
        <v>3</v>
      </c>
      <c r="F185" s="6" t="s">
        <v>17</v>
      </c>
      <c r="G185" s="5" t="s">
        <v>228</v>
      </c>
      <c r="H185" s="6" t="s">
        <v>125</v>
      </c>
      <c r="I185" s="7">
        <v>2611</v>
      </c>
      <c r="J185" s="6" t="s">
        <v>229</v>
      </c>
      <c r="K185" s="60">
        <v>1</v>
      </c>
      <c r="L185" s="20">
        <f>0.2611*201.96*117.5809</f>
        <v>6200.2473290604003</v>
      </c>
      <c r="M185" s="20">
        <f>L185*0.3</f>
        <v>1860.07419871812</v>
      </c>
    </row>
    <row r="186" spans="1:15" ht="31.5" x14ac:dyDescent="0.25">
      <c r="A186" s="5" t="s">
        <v>226</v>
      </c>
      <c r="B186" s="6" t="s">
        <v>227</v>
      </c>
      <c r="C186" s="6" t="s">
        <v>15</v>
      </c>
      <c r="D186" s="6" t="s">
        <v>16</v>
      </c>
      <c r="E186" s="6" t="s">
        <v>3</v>
      </c>
      <c r="F186" s="6" t="s">
        <v>17</v>
      </c>
      <c r="G186" s="5" t="s">
        <v>230</v>
      </c>
      <c r="H186" s="6" t="s">
        <v>19</v>
      </c>
      <c r="I186" s="7">
        <v>8202</v>
      </c>
      <c r="J186" s="6" t="s">
        <v>229</v>
      </c>
      <c r="K186" s="61"/>
      <c r="L186" s="21">
        <f>0.8202*68.16*117.5809</f>
        <v>6573.3404609088002</v>
      </c>
      <c r="M186" s="21">
        <f>L186*0.3</f>
        <v>1972.00213827264</v>
      </c>
    </row>
    <row r="187" spans="1:15" ht="31.5" x14ac:dyDescent="0.25">
      <c r="A187" s="5" t="s">
        <v>226</v>
      </c>
      <c r="B187" s="6" t="s">
        <v>227</v>
      </c>
      <c r="C187" s="6" t="s">
        <v>15</v>
      </c>
      <c r="D187" s="6" t="s">
        <v>16</v>
      </c>
      <c r="E187" s="6" t="s">
        <v>3</v>
      </c>
      <c r="F187" s="6" t="s">
        <v>17</v>
      </c>
      <c r="G187" s="5" t="s">
        <v>231</v>
      </c>
      <c r="H187" s="6" t="s">
        <v>160</v>
      </c>
      <c r="I187" s="7">
        <v>1278</v>
      </c>
      <c r="J187" s="6" t="s">
        <v>229</v>
      </c>
      <c r="K187" s="61"/>
      <c r="L187" s="20">
        <f>0.1278*176.72*117.5809</f>
        <v>2655.5429916143999</v>
      </c>
      <c r="M187" s="20">
        <f>L187*0.3</f>
        <v>796.66289748431996</v>
      </c>
    </row>
    <row r="188" spans="1:15" x14ac:dyDescent="0.25">
      <c r="A188" s="5"/>
      <c r="B188" s="6"/>
      <c r="C188" s="6"/>
      <c r="D188" s="6"/>
      <c r="E188" s="6"/>
      <c r="F188" s="6"/>
      <c r="G188" s="5"/>
      <c r="H188" s="13" t="s">
        <v>25</v>
      </c>
      <c r="I188" s="7">
        <f>SUM(I185:I187)</f>
        <v>12091</v>
      </c>
      <c r="J188" s="6"/>
      <c r="K188" s="62"/>
      <c r="L188" s="19">
        <f>SUM(L185:L187)</f>
        <v>15429.130781583601</v>
      </c>
      <c r="M188" s="19">
        <f>SUM(M185:M187)</f>
        <v>4628.7392344750797</v>
      </c>
    </row>
    <row r="189" spans="1:15" ht="31.5" x14ac:dyDescent="0.25">
      <c r="A189" s="5" t="s">
        <v>226</v>
      </c>
      <c r="B189" s="6" t="s">
        <v>227</v>
      </c>
      <c r="C189" s="6" t="s">
        <v>15</v>
      </c>
      <c r="D189" s="6" t="s">
        <v>16</v>
      </c>
      <c r="E189" s="6" t="s">
        <v>3</v>
      </c>
      <c r="F189" s="6" t="s">
        <v>17</v>
      </c>
      <c r="G189" s="5" t="s">
        <v>232</v>
      </c>
      <c r="H189" s="6" t="s">
        <v>28</v>
      </c>
      <c r="I189" s="7">
        <v>197</v>
      </c>
      <c r="J189" s="6" t="s">
        <v>233</v>
      </c>
      <c r="K189" s="24">
        <v>2</v>
      </c>
      <c r="L189" s="22">
        <f>0.0197*255.26*117.5809</f>
        <v>591.26990051979999</v>
      </c>
      <c r="M189" s="22">
        <f t="shared" ref="M189:M198" si="13">L189*0.3</f>
        <v>177.38097015593999</v>
      </c>
    </row>
    <row r="190" spans="1:15" ht="56.25" x14ac:dyDescent="0.25">
      <c r="A190" s="5" t="s">
        <v>226</v>
      </c>
      <c r="B190" s="6" t="s">
        <v>227</v>
      </c>
      <c r="C190" s="6" t="s">
        <v>15</v>
      </c>
      <c r="D190" s="6" t="s">
        <v>16</v>
      </c>
      <c r="E190" s="6" t="s">
        <v>3</v>
      </c>
      <c r="F190" s="6" t="s">
        <v>17</v>
      </c>
      <c r="G190" s="5" t="s">
        <v>234</v>
      </c>
      <c r="H190" s="6" t="s">
        <v>235</v>
      </c>
      <c r="I190" s="7">
        <v>330</v>
      </c>
      <c r="J190" s="6" t="s">
        <v>233</v>
      </c>
      <c r="K190" s="24">
        <v>3</v>
      </c>
      <c r="L190" s="19">
        <f>0.033*11.36*117.5809</f>
        <v>44.078727792000002</v>
      </c>
      <c r="M190" s="19">
        <f t="shared" si="13"/>
        <v>13.2236183376</v>
      </c>
    </row>
    <row r="191" spans="1:15" ht="31.5" x14ac:dyDescent="0.25">
      <c r="A191" s="5" t="s">
        <v>226</v>
      </c>
      <c r="B191" s="6" t="s">
        <v>236</v>
      </c>
      <c r="C191" s="6" t="s">
        <v>15</v>
      </c>
      <c r="D191" s="6" t="s">
        <v>16</v>
      </c>
      <c r="E191" s="6" t="s">
        <v>3</v>
      </c>
      <c r="F191" s="6" t="s">
        <v>17</v>
      </c>
      <c r="G191" s="5" t="s">
        <v>237</v>
      </c>
      <c r="H191" s="6" t="s">
        <v>125</v>
      </c>
      <c r="I191" s="7">
        <v>1589</v>
      </c>
      <c r="J191" s="6" t="s">
        <v>229</v>
      </c>
      <c r="K191" s="24">
        <v>4</v>
      </c>
      <c r="L191" s="22">
        <f>0.1589*201.96*117.5809</f>
        <v>3773.3408678196001</v>
      </c>
      <c r="M191" s="22">
        <f t="shared" si="13"/>
        <v>1132.0022603458799</v>
      </c>
    </row>
    <row r="192" spans="1:15" ht="31.5" x14ac:dyDescent="0.25">
      <c r="A192" s="5" t="s">
        <v>226</v>
      </c>
      <c r="B192" s="6" t="s">
        <v>236</v>
      </c>
      <c r="C192" s="6" t="s">
        <v>15</v>
      </c>
      <c r="D192" s="6" t="s">
        <v>16</v>
      </c>
      <c r="E192" s="6" t="s">
        <v>3</v>
      </c>
      <c r="F192" s="6" t="s">
        <v>17</v>
      </c>
      <c r="G192" s="5" t="s">
        <v>238</v>
      </c>
      <c r="H192" s="6" t="s">
        <v>24</v>
      </c>
      <c r="I192" s="7">
        <v>486</v>
      </c>
      <c r="J192" s="6" t="s">
        <v>229</v>
      </c>
      <c r="K192" s="24">
        <v>5</v>
      </c>
      <c r="L192" s="19">
        <f>0.0486*227.21*117.5809</f>
        <v>1298.3760356454</v>
      </c>
      <c r="M192" s="19">
        <f t="shared" si="13"/>
        <v>389.51281069362</v>
      </c>
    </row>
    <row r="193" spans="1:13" ht="31.5" x14ac:dyDescent="0.25">
      <c r="A193" s="5" t="s">
        <v>226</v>
      </c>
      <c r="B193" s="6" t="s">
        <v>236</v>
      </c>
      <c r="C193" s="6" t="s">
        <v>15</v>
      </c>
      <c r="D193" s="6" t="s">
        <v>16</v>
      </c>
      <c r="E193" s="6" t="s">
        <v>3</v>
      </c>
      <c r="F193" s="6" t="s">
        <v>17</v>
      </c>
      <c r="G193" s="5" t="s">
        <v>239</v>
      </c>
      <c r="H193" s="6" t="s">
        <v>28</v>
      </c>
      <c r="I193" s="7">
        <v>997</v>
      </c>
      <c r="J193" s="6" t="s">
        <v>229</v>
      </c>
      <c r="K193" s="23">
        <v>6</v>
      </c>
      <c r="L193" s="22">
        <f>0.0997*255.26*117.5809</f>
        <v>2992.3659432397999</v>
      </c>
      <c r="M193" s="22">
        <f t="shared" si="13"/>
        <v>897.70978297193994</v>
      </c>
    </row>
    <row r="194" spans="1:13" ht="31.5" x14ac:dyDescent="0.25">
      <c r="A194" s="5" t="s">
        <v>226</v>
      </c>
      <c r="B194" s="6" t="s">
        <v>236</v>
      </c>
      <c r="C194" s="6" t="s">
        <v>15</v>
      </c>
      <c r="D194" s="6" t="s">
        <v>16</v>
      </c>
      <c r="E194" s="6" t="s">
        <v>3</v>
      </c>
      <c r="F194" s="6" t="s">
        <v>17</v>
      </c>
      <c r="G194" s="5" t="s">
        <v>240</v>
      </c>
      <c r="H194" s="6" t="s">
        <v>28</v>
      </c>
      <c r="I194" s="7">
        <v>240</v>
      </c>
      <c r="J194" s="6" t="s">
        <v>241</v>
      </c>
      <c r="K194" s="60">
        <v>7</v>
      </c>
      <c r="L194" s="21">
        <f>0.024*255.26*117.5809</f>
        <v>720.32881281599998</v>
      </c>
      <c r="M194" s="21">
        <f t="shared" si="13"/>
        <v>216.09864384479999</v>
      </c>
    </row>
    <row r="195" spans="1:13" ht="31.5" x14ac:dyDescent="0.25">
      <c r="A195" s="5" t="s">
        <v>226</v>
      </c>
      <c r="B195" s="6" t="s">
        <v>236</v>
      </c>
      <c r="C195" s="6" t="s">
        <v>15</v>
      </c>
      <c r="D195" s="6" t="s">
        <v>16</v>
      </c>
      <c r="E195" s="6" t="s">
        <v>3</v>
      </c>
      <c r="F195" s="6" t="s">
        <v>17</v>
      </c>
      <c r="G195" s="5" t="s">
        <v>242</v>
      </c>
      <c r="H195" s="6" t="s">
        <v>28</v>
      </c>
      <c r="I195" s="7">
        <v>895</v>
      </c>
      <c r="J195" s="6" t="s">
        <v>233</v>
      </c>
      <c r="K195" s="61"/>
      <c r="L195" s="20">
        <f>0.0895*255.26*117.5809</f>
        <v>2686.2261977929998</v>
      </c>
      <c r="M195" s="20">
        <f t="shared" si="13"/>
        <v>805.86785933789986</v>
      </c>
    </row>
    <row r="196" spans="1:13" ht="31.5" x14ac:dyDescent="0.25">
      <c r="A196" s="5" t="s">
        <v>226</v>
      </c>
      <c r="B196" s="6" t="s">
        <v>236</v>
      </c>
      <c r="C196" s="6" t="s">
        <v>15</v>
      </c>
      <c r="D196" s="6" t="s">
        <v>16</v>
      </c>
      <c r="E196" s="6" t="s">
        <v>3</v>
      </c>
      <c r="F196" s="6" t="s">
        <v>17</v>
      </c>
      <c r="G196" s="5" t="s">
        <v>243</v>
      </c>
      <c r="H196" s="6" t="s">
        <v>28</v>
      </c>
      <c r="I196" s="7">
        <v>474</v>
      </c>
      <c r="J196" s="6" t="s">
        <v>233</v>
      </c>
      <c r="K196" s="61"/>
      <c r="L196" s="21">
        <f>0.0474*255.26*117.5809</f>
        <v>1422.6494053115998</v>
      </c>
      <c r="M196" s="21">
        <f t="shared" si="13"/>
        <v>426.79482159347992</v>
      </c>
    </row>
    <row r="197" spans="1:13" ht="31.5" x14ac:dyDescent="0.25">
      <c r="A197" s="5" t="s">
        <v>226</v>
      </c>
      <c r="B197" s="6" t="s">
        <v>236</v>
      </c>
      <c r="C197" s="6" t="s">
        <v>15</v>
      </c>
      <c r="D197" s="6" t="s">
        <v>16</v>
      </c>
      <c r="E197" s="6" t="s">
        <v>3</v>
      </c>
      <c r="F197" s="6" t="s">
        <v>17</v>
      </c>
      <c r="G197" s="5" t="s">
        <v>244</v>
      </c>
      <c r="H197" s="6" t="s">
        <v>28</v>
      </c>
      <c r="I197" s="7">
        <v>328</v>
      </c>
      <c r="J197" s="6" t="s">
        <v>233</v>
      </c>
      <c r="K197" s="61"/>
      <c r="L197" s="20">
        <f>0.0328*255.26*117.5809</f>
        <v>984.44937751520013</v>
      </c>
      <c r="M197" s="20">
        <f t="shared" si="13"/>
        <v>295.33481325456</v>
      </c>
    </row>
    <row r="198" spans="1:13" ht="31.5" x14ac:dyDescent="0.25">
      <c r="A198" s="5" t="s">
        <v>226</v>
      </c>
      <c r="B198" s="6" t="s">
        <v>236</v>
      </c>
      <c r="C198" s="6" t="s">
        <v>15</v>
      </c>
      <c r="D198" s="6" t="s">
        <v>16</v>
      </c>
      <c r="E198" s="6" t="s">
        <v>3</v>
      </c>
      <c r="F198" s="6" t="s">
        <v>17</v>
      </c>
      <c r="G198" s="5" t="s">
        <v>245</v>
      </c>
      <c r="H198" s="6" t="s">
        <v>28</v>
      </c>
      <c r="I198" s="7">
        <v>1181</v>
      </c>
      <c r="J198" s="6" t="s">
        <v>233</v>
      </c>
      <c r="K198" s="61"/>
      <c r="L198" s="21">
        <f>0.1181*255.26*117.5809</f>
        <v>3544.6180330654001</v>
      </c>
      <c r="M198" s="21">
        <f t="shared" si="13"/>
        <v>1063.3854099196201</v>
      </c>
    </row>
    <row r="199" spans="1:13" x14ac:dyDescent="0.25">
      <c r="A199" s="5"/>
      <c r="B199" s="6"/>
      <c r="C199" s="6"/>
      <c r="D199" s="6"/>
      <c r="E199" s="6"/>
      <c r="F199" s="6"/>
      <c r="G199" s="5"/>
      <c r="H199" s="13" t="s">
        <v>25</v>
      </c>
      <c r="I199" s="7">
        <f>SUM(I194:I198)</f>
        <v>3118</v>
      </c>
      <c r="J199" s="6"/>
      <c r="K199" s="62"/>
      <c r="L199" s="22">
        <f>SUM(L194:L198)</f>
        <v>9358.2718265012008</v>
      </c>
      <c r="M199" s="22">
        <f>SUM(M194:M198)</f>
        <v>2807.4815479503595</v>
      </c>
    </row>
    <row r="200" spans="1:13" ht="31.5" x14ac:dyDescent="0.25">
      <c r="A200" s="5" t="s">
        <v>226</v>
      </c>
      <c r="B200" s="6" t="s">
        <v>236</v>
      </c>
      <c r="C200" s="6" t="s">
        <v>15</v>
      </c>
      <c r="D200" s="6" t="s">
        <v>16</v>
      </c>
      <c r="E200" s="6" t="s">
        <v>3</v>
      </c>
      <c r="F200" s="6" t="s">
        <v>17</v>
      </c>
      <c r="G200" s="5" t="s">
        <v>246</v>
      </c>
      <c r="H200" s="6" t="s">
        <v>19</v>
      </c>
      <c r="I200" s="7">
        <v>359</v>
      </c>
      <c r="J200" s="6" t="s">
        <v>247</v>
      </c>
      <c r="K200" s="24">
        <v>8</v>
      </c>
      <c r="L200" s="19">
        <f>0.0359*68.16*117.5809</f>
        <v>287.71387776959995</v>
      </c>
      <c r="M200" s="19">
        <f>L200*0.3</f>
        <v>86.314163330879978</v>
      </c>
    </row>
    <row r="201" spans="1:13" ht="33.75" x14ac:dyDescent="0.25">
      <c r="A201" s="5" t="s">
        <v>226</v>
      </c>
      <c r="B201" s="6" t="s">
        <v>236</v>
      </c>
      <c r="C201" s="6" t="s">
        <v>15</v>
      </c>
      <c r="D201" s="6" t="s">
        <v>16</v>
      </c>
      <c r="E201" s="6" t="s">
        <v>3</v>
      </c>
      <c r="F201" s="6" t="s">
        <v>17</v>
      </c>
      <c r="G201" s="5" t="s">
        <v>248</v>
      </c>
      <c r="H201" s="6" t="s">
        <v>168</v>
      </c>
      <c r="I201" s="7">
        <v>1597</v>
      </c>
      <c r="J201" s="6" t="s">
        <v>249</v>
      </c>
      <c r="K201" s="60">
        <v>9</v>
      </c>
      <c r="L201" s="20">
        <f>0.1597*11.36*117.5809</f>
        <v>213.3143281328</v>
      </c>
      <c r="M201" s="20">
        <f>L201*0.3</f>
        <v>63.994298439839994</v>
      </c>
    </row>
    <row r="202" spans="1:13" ht="33.75" x14ac:dyDescent="0.25">
      <c r="A202" s="5" t="s">
        <v>226</v>
      </c>
      <c r="B202" s="6" t="s">
        <v>236</v>
      </c>
      <c r="C202" s="6" t="s">
        <v>15</v>
      </c>
      <c r="D202" s="6" t="s">
        <v>16</v>
      </c>
      <c r="E202" s="6" t="s">
        <v>3</v>
      </c>
      <c r="F202" s="6" t="s">
        <v>17</v>
      </c>
      <c r="G202" s="5" t="s">
        <v>250</v>
      </c>
      <c r="H202" s="6" t="s">
        <v>168</v>
      </c>
      <c r="I202" s="7">
        <v>1</v>
      </c>
      <c r="J202" s="6" t="s">
        <v>249</v>
      </c>
      <c r="K202" s="61"/>
      <c r="L202" s="21">
        <f>0.0001*11.36*117.5809</f>
        <v>0.1335719024</v>
      </c>
      <c r="M202" s="21">
        <f>L202*0.3</f>
        <v>4.0071570719999998E-2</v>
      </c>
    </row>
    <row r="203" spans="1:13" ht="33.75" x14ac:dyDescent="0.25">
      <c r="A203" s="5" t="s">
        <v>226</v>
      </c>
      <c r="B203" s="6" t="s">
        <v>236</v>
      </c>
      <c r="C203" s="6" t="s">
        <v>15</v>
      </c>
      <c r="D203" s="6" t="s">
        <v>16</v>
      </c>
      <c r="E203" s="6" t="s">
        <v>3</v>
      </c>
      <c r="F203" s="6" t="s">
        <v>17</v>
      </c>
      <c r="G203" s="5" t="s">
        <v>251</v>
      </c>
      <c r="H203" s="6" t="s">
        <v>168</v>
      </c>
      <c r="I203" s="7">
        <v>17</v>
      </c>
      <c r="J203" s="6" t="s">
        <v>249</v>
      </c>
      <c r="K203" s="61"/>
      <c r="L203" s="20">
        <f>0.0017*11.36*117.5809</f>
        <v>2.2707223407999999</v>
      </c>
      <c r="M203" s="20">
        <f t="shared" ref="M203:M237" si="14">L203*0.3</f>
        <v>0.68121670223999997</v>
      </c>
    </row>
    <row r="204" spans="1:13" ht="33.75" x14ac:dyDescent="0.25">
      <c r="A204" s="5" t="s">
        <v>226</v>
      </c>
      <c r="B204" s="6" t="s">
        <v>236</v>
      </c>
      <c r="C204" s="6" t="s">
        <v>15</v>
      </c>
      <c r="D204" s="6" t="s">
        <v>16</v>
      </c>
      <c r="E204" s="6" t="s">
        <v>3</v>
      </c>
      <c r="F204" s="6" t="s">
        <v>17</v>
      </c>
      <c r="G204" s="5" t="s">
        <v>252</v>
      </c>
      <c r="H204" s="6" t="s">
        <v>168</v>
      </c>
      <c r="I204" s="7">
        <v>36</v>
      </c>
      <c r="J204" s="6" t="s">
        <v>249</v>
      </c>
      <c r="K204" s="61"/>
      <c r="L204" s="21">
        <f>0.0036*11.36*117.5809</f>
        <v>4.8085884863999997</v>
      </c>
      <c r="M204" s="21">
        <f>L204*0.3</f>
        <v>1.44257654592</v>
      </c>
    </row>
    <row r="205" spans="1:13" ht="33.75" x14ac:dyDescent="0.25">
      <c r="A205" s="5" t="s">
        <v>226</v>
      </c>
      <c r="B205" s="6" t="s">
        <v>236</v>
      </c>
      <c r="C205" s="6" t="s">
        <v>15</v>
      </c>
      <c r="D205" s="6" t="s">
        <v>16</v>
      </c>
      <c r="E205" s="6" t="s">
        <v>3</v>
      </c>
      <c r="F205" s="6" t="s">
        <v>17</v>
      </c>
      <c r="G205" s="5" t="s">
        <v>253</v>
      </c>
      <c r="H205" s="6" t="s">
        <v>168</v>
      </c>
      <c r="I205" s="7">
        <v>56</v>
      </c>
      <c r="J205" s="6" t="s">
        <v>249</v>
      </c>
      <c r="K205" s="61"/>
      <c r="L205" s="20">
        <f>0.0056*11.36*117.5809</f>
        <v>7.4800265343999994</v>
      </c>
      <c r="M205" s="20">
        <f>L205*0.3</f>
        <v>2.2440079603199998</v>
      </c>
    </row>
    <row r="206" spans="1:13" ht="33.75" x14ac:dyDescent="0.25">
      <c r="A206" s="5" t="s">
        <v>226</v>
      </c>
      <c r="B206" s="6" t="s">
        <v>236</v>
      </c>
      <c r="C206" s="6" t="s">
        <v>15</v>
      </c>
      <c r="D206" s="6" t="s">
        <v>16</v>
      </c>
      <c r="E206" s="6" t="s">
        <v>3</v>
      </c>
      <c r="F206" s="6" t="s">
        <v>17</v>
      </c>
      <c r="G206" s="5" t="s">
        <v>254</v>
      </c>
      <c r="H206" s="6" t="s">
        <v>168</v>
      </c>
      <c r="I206" s="7">
        <v>60</v>
      </c>
      <c r="J206" s="6" t="s">
        <v>249</v>
      </c>
      <c r="K206" s="61"/>
      <c r="L206" s="21">
        <f>0.006*11.36*117.5809</f>
        <v>8.0143141440000001</v>
      </c>
      <c r="M206" s="21">
        <f>L206*0.3</f>
        <v>2.4042942431999998</v>
      </c>
    </row>
    <row r="207" spans="1:13" ht="33.75" x14ac:dyDescent="0.25">
      <c r="A207" s="5" t="s">
        <v>226</v>
      </c>
      <c r="B207" s="6" t="s">
        <v>236</v>
      </c>
      <c r="C207" s="6" t="s">
        <v>15</v>
      </c>
      <c r="D207" s="6" t="s">
        <v>16</v>
      </c>
      <c r="E207" s="6" t="s">
        <v>3</v>
      </c>
      <c r="F207" s="6" t="s">
        <v>17</v>
      </c>
      <c r="G207" s="5" t="s">
        <v>255</v>
      </c>
      <c r="H207" s="6" t="s">
        <v>168</v>
      </c>
      <c r="I207" s="7">
        <v>92</v>
      </c>
      <c r="J207" s="6" t="s">
        <v>249</v>
      </c>
      <c r="K207" s="61"/>
      <c r="L207" s="20">
        <f>0.0092*11.36*117.5809</f>
        <v>12.2886150208</v>
      </c>
      <c r="M207" s="20">
        <f>L207*0.3</f>
        <v>3.68658450624</v>
      </c>
    </row>
    <row r="208" spans="1:13" ht="33.75" x14ac:dyDescent="0.25">
      <c r="A208" s="5" t="s">
        <v>226</v>
      </c>
      <c r="B208" s="6" t="s">
        <v>236</v>
      </c>
      <c r="C208" s="6" t="s">
        <v>15</v>
      </c>
      <c r="D208" s="6" t="s">
        <v>16</v>
      </c>
      <c r="E208" s="6" t="s">
        <v>3</v>
      </c>
      <c r="F208" s="6" t="s">
        <v>17</v>
      </c>
      <c r="G208" s="5" t="s">
        <v>256</v>
      </c>
      <c r="H208" s="6" t="s">
        <v>168</v>
      </c>
      <c r="I208" s="7">
        <v>112</v>
      </c>
      <c r="J208" s="6" t="s">
        <v>249</v>
      </c>
      <c r="K208" s="61"/>
      <c r="L208" s="21">
        <f>0.0112*11.36*117.5809</f>
        <v>14.960053068799999</v>
      </c>
      <c r="M208" s="21">
        <f t="shared" si="14"/>
        <v>4.4880159206399997</v>
      </c>
    </row>
    <row r="209" spans="1:13" ht="33.75" x14ac:dyDescent="0.25">
      <c r="A209" s="5" t="s">
        <v>226</v>
      </c>
      <c r="B209" s="6" t="s">
        <v>236</v>
      </c>
      <c r="C209" s="6" t="s">
        <v>15</v>
      </c>
      <c r="D209" s="6" t="s">
        <v>16</v>
      </c>
      <c r="E209" s="6" t="s">
        <v>3</v>
      </c>
      <c r="F209" s="6" t="s">
        <v>17</v>
      </c>
      <c r="G209" s="5" t="s">
        <v>257</v>
      </c>
      <c r="H209" s="6" t="s">
        <v>168</v>
      </c>
      <c r="I209" s="7">
        <v>131</v>
      </c>
      <c r="J209" s="6" t="s">
        <v>249</v>
      </c>
      <c r="K209" s="61"/>
      <c r="L209" s="20">
        <f>0.0131*11.36*117.5809</f>
        <v>17.4979192144</v>
      </c>
      <c r="M209" s="20">
        <f t="shared" si="14"/>
        <v>5.2493757643199999</v>
      </c>
    </row>
    <row r="210" spans="1:13" ht="33.75" x14ac:dyDescent="0.25">
      <c r="A210" s="5" t="s">
        <v>226</v>
      </c>
      <c r="B210" s="6" t="s">
        <v>236</v>
      </c>
      <c r="C210" s="6" t="s">
        <v>15</v>
      </c>
      <c r="D210" s="6" t="s">
        <v>16</v>
      </c>
      <c r="E210" s="6" t="s">
        <v>3</v>
      </c>
      <c r="F210" s="6" t="s">
        <v>17</v>
      </c>
      <c r="G210" s="5" t="s">
        <v>258</v>
      </c>
      <c r="H210" s="6" t="s">
        <v>168</v>
      </c>
      <c r="I210" s="7">
        <v>151</v>
      </c>
      <c r="J210" s="6" t="s">
        <v>249</v>
      </c>
      <c r="K210" s="61"/>
      <c r="L210" s="21">
        <f>0.0151*11.36*117.5809</f>
        <v>20.169357262399998</v>
      </c>
      <c r="M210" s="21">
        <f t="shared" si="14"/>
        <v>6.0508071787199995</v>
      </c>
    </row>
    <row r="211" spans="1:13" ht="33.75" x14ac:dyDescent="0.25">
      <c r="A211" s="5" t="s">
        <v>226</v>
      </c>
      <c r="B211" s="6" t="s">
        <v>236</v>
      </c>
      <c r="C211" s="6" t="s">
        <v>15</v>
      </c>
      <c r="D211" s="6" t="s">
        <v>16</v>
      </c>
      <c r="E211" s="6" t="s">
        <v>3</v>
      </c>
      <c r="F211" s="6" t="s">
        <v>17</v>
      </c>
      <c r="G211" s="5" t="s">
        <v>259</v>
      </c>
      <c r="H211" s="6" t="s">
        <v>168</v>
      </c>
      <c r="I211" s="7">
        <v>169</v>
      </c>
      <c r="J211" s="6" t="s">
        <v>249</v>
      </c>
      <c r="K211" s="61"/>
      <c r="L211" s="20">
        <f>0.0169*11.36*117.5809</f>
        <v>22.573651505599994</v>
      </c>
      <c r="M211" s="20">
        <f t="shared" si="14"/>
        <v>6.7720954516799976</v>
      </c>
    </row>
    <row r="212" spans="1:13" ht="33.75" x14ac:dyDescent="0.25">
      <c r="A212" s="5" t="s">
        <v>226</v>
      </c>
      <c r="B212" s="6" t="s">
        <v>236</v>
      </c>
      <c r="C212" s="6" t="s">
        <v>15</v>
      </c>
      <c r="D212" s="6" t="s">
        <v>16</v>
      </c>
      <c r="E212" s="6" t="s">
        <v>3</v>
      </c>
      <c r="F212" s="6" t="s">
        <v>17</v>
      </c>
      <c r="G212" s="5" t="s">
        <v>260</v>
      </c>
      <c r="H212" s="6" t="s">
        <v>168</v>
      </c>
      <c r="I212" s="7">
        <v>158</v>
      </c>
      <c r="J212" s="6" t="s">
        <v>249</v>
      </c>
      <c r="K212" s="61"/>
      <c r="L212" s="21">
        <f>0.0158*11.36*117.5809</f>
        <v>21.104360579200002</v>
      </c>
      <c r="M212" s="21">
        <f t="shared" si="14"/>
        <v>6.3313081737600001</v>
      </c>
    </row>
    <row r="213" spans="1:13" ht="33.75" x14ac:dyDescent="0.25">
      <c r="A213" s="5" t="s">
        <v>226</v>
      </c>
      <c r="B213" s="6" t="s">
        <v>236</v>
      </c>
      <c r="C213" s="6" t="s">
        <v>15</v>
      </c>
      <c r="D213" s="6" t="s">
        <v>16</v>
      </c>
      <c r="E213" s="6" t="s">
        <v>3</v>
      </c>
      <c r="F213" s="6" t="s">
        <v>17</v>
      </c>
      <c r="G213" s="5" t="s">
        <v>261</v>
      </c>
      <c r="H213" s="6" t="s">
        <v>168</v>
      </c>
      <c r="I213" s="7">
        <v>138</v>
      </c>
      <c r="J213" s="6" t="s">
        <v>249</v>
      </c>
      <c r="K213" s="61"/>
      <c r="L213" s="20">
        <f>0.0138*11.36*117.5809</f>
        <v>18.432922531199999</v>
      </c>
      <c r="M213" s="20">
        <f t="shared" si="14"/>
        <v>5.5298767593599996</v>
      </c>
    </row>
    <row r="214" spans="1:13" ht="33.75" x14ac:dyDescent="0.25">
      <c r="A214" s="5" t="s">
        <v>226</v>
      </c>
      <c r="B214" s="6" t="s">
        <v>236</v>
      </c>
      <c r="C214" s="6" t="s">
        <v>15</v>
      </c>
      <c r="D214" s="6" t="s">
        <v>16</v>
      </c>
      <c r="E214" s="6" t="s">
        <v>3</v>
      </c>
      <c r="F214" s="6" t="s">
        <v>17</v>
      </c>
      <c r="G214" s="5" t="s">
        <v>262</v>
      </c>
      <c r="H214" s="6" t="s">
        <v>168</v>
      </c>
      <c r="I214" s="7">
        <v>100</v>
      </c>
      <c r="J214" s="6" t="s">
        <v>249</v>
      </c>
      <c r="K214" s="61"/>
      <c r="L214" s="21">
        <f>0.01*11.36*117.5809</f>
        <v>13.35719024</v>
      </c>
      <c r="M214" s="21">
        <f t="shared" si="14"/>
        <v>4.007157072</v>
      </c>
    </row>
    <row r="215" spans="1:13" ht="33.75" x14ac:dyDescent="0.25">
      <c r="A215" s="5" t="s">
        <v>226</v>
      </c>
      <c r="B215" s="6" t="s">
        <v>236</v>
      </c>
      <c r="C215" s="6" t="s">
        <v>15</v>
      </c>
      <c r="D215" s="6" t="s">
        <v>16</v>
      </c>
      <c r="E215" s="6" t="s">
        <v>3</v>
      </c>
      <c r="F215" s="6" t="s">
        <v>17</v>
      </c>
      <c r="G215" s="5" t="s">
        <v>263</v>
      </c>
      <c r="H215" s="6" t="s">
        <v>168</v>
      </c>
      <c r="I215" s="7">
        <v>125</v>
      </c>
      <c r="J215" s="6" t="s">
        <v>249</v>
      </c>
      <c r="K215" s="61"/>
      <c r="L215" s="20">
        <f>0.0125*11.36*117.5809</f>
        <v>16.6964878</v>
      </c>
      <c r="M215" s="20">
        <f t="shared" si="14"/>
        <v>5.0089463399999996</v>
      </c>
    </row>
    <row r="216" spans="1:13" ht="33.75" x14ac:dyDescent="0.25">
      <c r="A216" s="5" t="s">
        <v>226</v>
      </c>
      <c r="B216" s="6" t="s">
        <v>236</v>
      </c>
      <c r="C216" s="6" t="s">
        <v>15</v>
      </c>
      <c r="D216" s="6" t="s">
        <v>16</v>
      </c>
      <c r="E216" s="6" t="s">
        <v>3</v>
      </c>
      <c r="F216" s="6" t="s">
        <v>17</v>
      </c>
      <c r="G216" s="5" t="s">
        <v>264</v>
      </c>
      <c r="H216" s="6" t="s">
        <v>168</v>
      </c>
      <c r="I216" s="7">
        <v>148</v>
      </c>
      <c r="J216" s="6" t="s">
        <v>249</v>
      </c>
      <c r="K216" s="61"/>
      <c r="L216" s="21">
        <f>0.0148*11.36*117.5809</f>
        <v>19.768641555199999</v>
      </c>
      <c r="M216" s="21">
        <f t="shared" si="14"/>
        <v>5.9305924665599994</v>
      </c>
    </row>
    <row r="217" spans="1:13" ht="33.75" x14ac:dyDescent="0.25">
      <c r="A217" s="5" t="s">
        <v>226</v>
      </c>
      <c r="B217" s="6" t="s">
        <v>236</v>
      </c>
      <c r="C217" s="6" t="s">
        <v>15</v>
      </c>
      <c r="D217" s="6" t="s">
        <v>16</v>
      </c>
      <c r="E217" s="6" t="s">
        <v>3</v>
      </c>
      <c r="F217" s="6" t="s">
        <v>17</v>
      </c>
      <c r="G217" s="5" t="s">
        <v>265</v>
      </c>
      <c r="H217" s="6" t="s">
        <v>168</v>
      </c>
      <c r="I217" s="7">
        <v>171</v>
      </c>
      <c r="J217" s="6" t="s">
        <v>249</v>
      </c>
      <c r="K217" s="61"/>
      <c r="L217" s="20">
        <f>0.0171*11.36*117.5809</f>
        <v>22.840795310399997</v>
      </c>
      <c r="M217" s="20">
        <f t="shared" si="14"/>
        <v>6.8522385931199992</v>
      </c>
    </row>
    <row r="218" spans="1:13" ht="33.75" x14ac:dyDescent="0.25">
      <c r="A218" s="5" t="s">
        <v>226</v>
      </c>
      <c r="B218" s="6" t="s">
        <v>236</v>
      </c>
      <c r="C218" s="6" t="s">
        <v>15</v>
      </c>
      <c r="D218" s="6" t="s">
        <v>16</v>
      </c>
      <c r="E218" s="6" t="s">
        <v>3</v>
      </c>
      <c r="F218" s="6" t="s">
        <v>17</v>
      </c>
      <c r="G218" s="5" t="s">
        <v>266</v>
      </c>
      <c r="H218" s="6" t="s">
        <v>168</v>
      </c>
      <c r="I218" s="7">
        <v>195</v>
      </c>
      <c r="J218" s="6" t="s">
        <v>249</v>
      </c>
      <c r="K218" s="61"/>
      <c r="L218" s="21">
        <f>0.0195*11.36*117.5809</f>
        <v>26.046520967999999</v>
      </c>
      <c r="M218" s="21">
        <f t="shared" si="14"/>
        <v>7.8139562903999993</v>
      </c>
    </row>
    <row r="219" spans="1:13" ht="33.75" x14ac:dyDescent="0.25">
      <c r="A219" s="5" t="s">
        <v>226</v>
      </c>
      <c r="B219" s="6" t="s">
        <v>236</v>
      </c>
      <c r="C219" s="6" t="s">
        <v>15</v>
      </c>
      <c r="D219" s="6" t="s">
        <v>16</v>
      </c>
      <c r="E219" s="6" t="s">
        <v>3</v>
      </c>
      <c r="F219" s="6" t="s">
        <v>17</v>
      </c>
      <c r="G219" s="5" t="s">
        <v>267</v>
      </c>
      <c r="H219" s="6" t="s">
        <v>168</v>
      </c>
      <c r="I219" s="7">
        <v>227</v>
      </c>
      <c r="J219" s="6" t="s">
        <v>249</v>
      </c>
      <c r="K219" s="61"/>
      <c r="L219" s="20">
        <f>0.0227*11.36*117.5809</f>
        <v>30.320821844799998</v>
      </c>
      <c r="M219" s="20">
        <f t="shared" si="14"/>
        <v>9.0962465534399986</v>
      </c>
    </row>
    <row r="220" spans="1:13" ht="33.75" x14ac:dyDescent="0.25">
      <c r="A220" s="5" t="s">
        <v>226</v>
      </c>
      <c r="B220" s="6" t="s">
        <v>236</v>
      </c>
      <c r="C220" s="6" t="s">
        <v>15</v>
      </c>
      <c r="D220" s="6" t="s">
        <v>16</v>
      </c>
      <c r="E220" s="6" t="s">
        <v>3</v>
      </c>
      <c r="F220" s="6" t="s">
        <v>17</v>
      </c>
      <c r="G220" s="5" t="s">
        <v>268</v>
      </c>
      <c r="H220" s="6" t="s">
        <v>168</v>
      </c>
      <c r="I220" s="7">
        <v>266</v>
      </c>
      <c r="J220" s="6" t="s">
        <v>249</v>
      </c>
      <c r="K220" s="61"/>
      <c r="L220" s="21">
        <f>0.0266*11.36*117.5809</f>
        <v>35.530126038399992</v>
      </c>
      <c r="M220" s="21">
        <f t="shared" si="14"/>
        <v>10.659037811519998</v>
      </c>
    </row>
    <row r="221" spans="1:13" ht="33.75" x14ac:dyDescent="0.25">
      <c r="A221" s="5" t="s">
        <v>226</v>
      </c>
      <c r="B221" s="6" t="s">
        <v>236</v>
      </c>
      <c r="C221" s="6" t="s">
        <v>15</v>
      </c>
      <c r="D221" s="6" t="s">
        <v>16</v>
      </c>
      <c r="E221" s="6" t="s">
        <v>3</v>
      </c>
      <c r="F221" s="6" t="s">
        <v>17</v>
      </c>
      <c r="G221" s="5" t="s">
        <v>269</v>
      </c>
      <c r="H221" s="6" t="s">
        <v>168</v>
      </c>
      <c r="I221" s="7">
        <v>311</v>
      </c>
      <c r="J221" s="6" t="s">
        <v>249</v>
      </c>
      <c r="K221" s="61"/>
      <c r="L221" s="20">
        <f>0.0311*11.36*117.5809</f>
        <v>41.540861646400003</v>
      </c>
      <c r="M221" s="20">
        <f t="shared" si="14"/>
        <v>12.46225849392</v>
      </c>
    </row>
    <row r="222" spans="1:13" ht="33.75" x14ac:dyDescent="0.25">
      <c r="A222" s="5" t="s">
        <v>226</v>
      </c>
      <c r="B222" s="6" t="s">
        <v>236</v>
      </c>
      <c r="C222" s="6" t="s">
        <v>15</v>
      </c>
      <c r="D222" s="6" t="s">
        <v>16</v>
      </c>
      <c r="E222" s="6" t="s">
        <v>3</v>
      </c>
      <c r="F222" s="6" t="s">
        <v>17</v>
      </c>
      <c r="G222" s="5" t="s">
        <v>270</v>
      </c>
      <c r="H222" s="6" t="s">
        <v>168</v>
      </c>
      <c r="I222" s="7">
        <v>388</v>
      </c>
      <c r="J222" s="6" t="s">
        <v>249</v>
      </c>
      <c r="K222" s="61"/>
      <c r="L222" s="21">
        <f>0.0388*11.36*117.5809</f>
        <v>51.825898131199999</v>
      </c>
      <c r="M222" s="21">
        <f t="shared" si="14"/>
        <v>15.54776943936</v>
      </c>
    </row>
    <row r="223" spans="1:13" ht="33.75" x14ac:dyDescent="0.25">
      <c r="A223" s="5" t="s">
        <v>226</v>
      </c>
      <c r="B223" s="6" t="s">
        <v>236</v>
      </c>
      <c r="C223" s="6" t="s">
        <v>15</v>
      </c>
      <c r="D223" s="6" t="s">
        <v>16</v>
      </c>
      <c r="E223" s="6" t="s">
        <v>3</v>
      </c>
      <c r="F223" s="6" t="s">
        <v>17</v>
      </c>
      <c r="G223" s="5" t="s">
        <v>271</v>
      </c>
      <c r="H223" s="6" t="s">
        <v>168</v>
      </c>
      <c r="I223" s="7">
        <v>11</v>
      </c>
      <c r="J223" s="6" t="s">
        <v>249</v>
      </c>
      <c r="K223" s="61"/>
      <c r="L223" s="20">
        <f>0.0011*11.36*117.5809</f>
        <v>1.4692909264</v>
      </c>
      <c r="M223" s="20">
        <f t="shared" si="14"/>
        <v>0.44078727792</v>
      </c>
    </row>
    <row r="224" spans="1:13" ht="33.75" x14ac:dyDescent="0.25">
      <c r="A224" s="5" t="s">
        <v>226</v>
      </c>
      <c r="B224" s="6" t="s">
        <v>236</v>
      </c>
      <c r="C224" s="6" t="s">
        <v>15</v>
      </c>
      <c r="D224" s="6" t="s">
        <v>16</v>
      </c>
      <c r="E224" s="6" t="s">
        <v>3</v>
      </c>
      <c r="F224" s="6" t="s">
        <v>17</v>
      </c>
      <c r="G224" s="5" t="s">
        <v>272</v>
      </c>
      <c r="H224" s="6" t="s">
        <v>168</v>
      </c>
      <c r="I224" s="7">
        <v>424</v>
      </c>
      <c r="J224" s="6" t="s">
        <v>249</v>
      </c>
      <c r="K224" s="61"/>
      <c r="L224" s="21">
        <f>0.0424*11.36*117.5809</f>
        <v>56.634486617599997</v>
      </c>
      <c r="M224" s="21">
        <f t="shared" si="14"/>
        <v>16.990345985279998</v>
      </c>
    </row>
    <row r="225" spans="1:13" ht="33.75" x14ac:dyDescent="0.25">
      <c r="A225" s="5" t="s">
        <v>226</v>
      </c>
      <c r="B225" s="6" t="s">
        <v>236</v>
      </c>
      <c r="C225" s="6" t="s">
        <v>15</v>
      </c>
      <c r="D225" s="6" t="s">
        <v>16</v>
      </c>
      <c r="E225" s="6" t="s">
        <v>3</v>
      </c>
      <c r="F225" s="6" t="s">
        <v>17</v>
      </c>
      <c r="G225" s="5" t="s">
        <v>273</v>
      </c>
      <c r="H225" s="6" t="s">
        <v>168</v>
      </c>
      <c r="I225" s="7">
        <v>469</v>
      </c>
      <c r="J225" s="6" t="s">
        <v>249</v>
      </c>
      <c r="K225" s="61"/>
      <c r="L225" s="20">
        <f>0.0469*11.36*117.5809</f>
        <v>62.645222225599994</v>
      </c>
      <c r="M225" s="20">
        <f t="shared" si="14"/>
        <v>18.793566667679997</v>
      </c>
    </row>
    <row r="226" spans="1:13" ht="33.75" x14ac:dyDescent="0.25">
      <c r="A226" s="5" t="s">
        <v>226</v>
      </c>
      <c r="B226" s="6" t="s">
        <v>236</v>
      </c>
      <c r="C226" s="6" t="s">
        <v>15</v>
      </c>
      <c r="D226" s="6" t="s">
        <v>16</v>
      </c>
      <c r="E226" s="6" t="s">
        <v>3</v>
      </c>
      <c r="F226" s="6" t="s">
        <v>17</v>
      </c>
      <c r="G226" s="5" t="s">
        <v>274</v>
      </c>
      <c r="H226" s="6" t="s">
        <v>168</v>
      </c>
      <c r="I226" s="7">
        <v>515</v>
      </c>
      <c r="J226" s="6" t="s">
        <v>249</v>
      </c>
      <c r="K226" s="61"/>
      <c r="L226" s="21">
        <f>0.0515*11.36*117.5809</f>
        <v>68.789529735999992</v>
      </c>
      <c r="M226" s="21">
        <f t="shared" si="14"/>
        <v>20.636858920799998</v>
      </c>
    </row>
    <row r="227" spans="1:13" ht="33.75" x14ac:dyDescent="0.25">
      <c r="A227" s="5" t="s">
        <v>226</v>
      </c>
      <c r="B227" s="6" t="s">
        <v>236</v>
      </c>
      <c r="C227" s="6" t="s">
        <v>15</v>
      </c>
      <c r="D227" s="6" t="s">
        <v>16</v>
      </c>
      <c r="E227" s="6" t="s">
        <v>3</v>
      </c>
      <c r="F227" s="6" t="s">
        <v>17</v>
      </c>
      <c r="G227" s="5" t="s">
        <v>275</v>
      </c>
      <c r="H227" s="6" t="s">
        <v>168</v>
      </c>
      <c r="I227" s="7">
        <v>577</v>
      </c>
      <c r="J227" s="6" t="s">
        <v>249</v>
      </c>
      <c r="K227" s="61"/>
      <c r="L227" s="20">
        <f>0.0577*11.36*117.5809</f>
        <v>77.070987684799988</v>
      </c>
      <c r="M227" s="20">
        <f t="shared" si="14"/>
        <v>23.121296305439994</v>
      </c>
    </row>
    <row r="228" spans="1:13" ht="33.75" x14ac:dyDescent="0.25">
      <c r="A228" s="5" t="s">
        <v>226</v>
      </c>
      <c r="B228" s="6" t="s">
        <v>236</v>
      </c>
      <c r="C228" s="6" t="s">
        <v>15</v>
      </c>
      <c r="D228" s="6" t="s">
        <v>16</v>
      </c>
      <c r="E228" s="6" t="s">
        <v>3</v>
      </c>
      <c r="F228" s="6" t="s">
        <v>17</v>
      </c>
      <c r="G228" s="5" t="s">
        <v>276</v>
      </c>
      <c r="H228" s="6" t="s">
        <v>168</v>
      </c>
      <c r="I228" s="7">
        <v>648</v>
      </c>
      <c r="J228" s="6" t="s">
        <v>249</v>
      </c>
      <c r="K228" s="61"/>
      <c r="L228" s="21">
        <f>0.0648*11.36*117.5809</f>
        <v>86.554592755199991</v>
      </c>
      <c r="M228" s="21">
        <f t="shared" si="14"/>
        <v>25.966377826559995</v>
      </c>
    </row>
    <row r="229" spans="1:13" ht="33.75" x14ac:dyDescent="0.25">
      <c r="A229" s="5" t="s">
        <v>226</v>
      </c>
      <c r="B229" s="6" t="s">
        <v>236</v>
      </c>
      <c r="C229" s="6" t="s">
        <v>15</v>
      </c>
      <c r="D229" s="6" t="s">
        <v>16</v>
      </c>
      <c r="E229" s="6" t="s">
        <v>3</v>
      </c>
      <c r="F229" s="6" t="s">
        <v>17</v>
      </c>
      <c r="G229" s="5" t="s">
        <v>277</v>
      </c>
      <c r="H229" s="6" t="s">
        <v>168</v>
      </c>
      <c r="I229" s="7">
        <v>701</v>
      </c>
      <c r="J229" s="6" t="s">
        <v>249</v>
      </c>
      <c r="K229" s="61"/>
      <c r="L229" s="20">
        <f>0.0701*11.36*117.5809</f>
        <v>93.633903582399995</v>
      </c>
      <c r="M229" s="20">
        <f t="shared" si="14"/>
        <v>28.090171074719997</v>
      </c>
    </row>
    <row r="230" spans="1:13" ht="33.75" x14ac:dyDescent="0.25">
      <c r="A230" s="5" t="s">
        <v>226</v>
      </c>
      <c r="B230" s="6" t="s">
        <v>236</v>
      </c>
      <c r="C230" s="6" t="s">
        <v>15</v>
      </c>
      <c r="D230" s="6" t="s">
        <v>16</v>
      </c>
      <c r="E230" s="6" t="s">
        <v>3</v>
      </c>
      <c r="F230" s="6" t="s">
        <v>17</v>
      </c>
      <c r="G230" s="5" t="s">
        <v>278</v>
      </c>
      <c r="H230" s="6" t="s">
        <v>168</v>
      </c>
      <c r="I230" s="7">
        <v>749</v>
      </c>
      <c r="J230" s="6" t="s">
        <v>249</v>
      </c>
      <c r="K230" s="61"/>
      <c r="L230" s="21">
        <f>0.0749*11.36*117.5809</f>
        <v>100.04535489759998</v>
      </c>
      <c r="M230" s="21">
        <f t="shared" si="14"/>
        <v>30.013606469279992</v>
      </c>
    </row>
    <row r="231" spans="1:13" ht="33.75" x14ac:dyDescent="0.25">
      <c r="A231" s="5" t="s">
        <v>226</v>
      </c>
      <c r="B231" s="6" t="s">
        <v>236</v>
      </c>
      <c r="C231" s="6" t="s">
        <v>15</v>
      </c>
      <c r="D231" s="6" t="s">
        <v>16</v>
      </c>
      <c r="E231" s="6" t="s">
        <v>3</v>
      </c>
      <c r="F231" s="6" t="s">
        <v>17</v>
      </c>
      <c r="G231" s="5" t="s">
        <v>279</v>
      </c>
      <c r="H231" s="6" t="s">
        <v>168</v>
      </c>
      <c r="I231" s="7">
        <v>766</v>
      </c>
      <c r="J231" s="6" t="s">
        <v>249</v>
      </c>
      <c r="K231" s="61"/>
      <c r="L231" s="20">
        <f>0.0766*11.36*117.5809</f>
        <v>102.3160772384</v>
      </c>
      <c r="M231" s="20">
        <f t="shared" si="14"/>
        <v>30.69482317152</v>
      </c>
    </row>
    <row r="232" spans="1:13" ht="33.75" x14ac:dyDescent="0.25">
      <c r="A232" s="5" t="s">
        <v>226</v>
      </c>
      <c r="B232" s="6" t="s">
        <v>236</v>
      </c>
      <c r="C232" s="6" t="s">
        <v>15</v>
      </c>
      <c r="D232" s="6" t="s">
        <v>16</v>
      </c>
      <c r="E232" s="6" t="s">
        <v>3</v>
      </c>
      <c r="F232" s="6" t="s">
        <v>17</v>
      </c>
      <c r="G232" s="5" t="s">
        <v>280</v>
      </c>
      <c r="H232" s="6" t="s">
        <v>168</v>
      </c>
      <c r="I232" s="7">
        <v>765</v>
      </c>
      <c r="J232" s="6" t="s">
        <v>249</v>
      </c>
      <c r="K232" s="61"/>
      <c r="L232" s="21">
        <f>0.0765*11.36*117.5809</f>
        <v>102.18250533599999</v>
      </c>
      <c r="M232" s="21">
        <f t="shared" si="14"/>
        <v>30.654751600799997</v>
      </c>
    </row>
    <row r="233" spans="1:13" ht="33.75" x14ac:dyDescent="0.25">
      <c r="A233" s="5" t="s">
        <v>226</v>
      </c>
      <c r="B233" s="6" t="s">
        <v>236</v>
      </c>
      <c r="C233" s="6" t="s">
        <v>15</v>
      </c>
      <c r="D233" s="6" t="s">
        <v>16</v>
      </c>
      <c r="E233" s="6" t="s">
        <v>3</v>
      </c>
      <c r="F233" s="6" t="s">
        <v>17</v>
      </c>
      <c r="G233" s="5" t="s">
        <v>281</v>
      </c>
      <c r="H233" s="6" t="s">
        <v>168</v>
      </c>
      <c r="I233" s="7">
        <v>765</v>
      </c>
      <c r="J233" s="6" t="s">
        <v>249</v>
      </c>
      <c r="K233" s="61"/>
      <c r="L233" s="20">
        <f>0.0765*11.36*117.5809</f>
        <v>102.18250533599999</v>
      </c>
      <c r="M233" s="20">
        <f t="shared" si="14"/>
        <v>30.654751600799997</v>
      </c>
    </row>
    <row r="234" spans="1:13" ht="33.75" x14ac:dyDescent="0.25">
      <c r="A234" s="5" t="s">
        <v>226</v>
      </c>
      <c r="B234" s="6" t="s">
        <v>236</v>
      </c>
      <c r="C234" s="6" t="s">
        <v>15</v>
      </c>
      <c r="D234" s="6" t="s">
        <v>16</v>
      </c>
      <c r="E234" s="6" t="s">
        <v>3</v>
      </c>
      <c r="F234" s="6" t="s">
        <v>17</v>
      </c>
      <c r="G234" s="5" t="s">
        <v>282</v>
      </c>
      <c r="H234" s="6" t="s">
        <v>168</v>
      </c>
      <c r="I234" s="7">
        <v>717</v>
      </c>
      <c r="J234" s="6" t="s">
        <v>249</v>
      </c>
      <c r="K234" s="61"/>
      <c r="L234" s="21">
        <f>0.0717*11.36*117.5809</f>
        <v>95.771054020799994</v>
      </c>
      <c r="M234" s="21">
        <f t="shared" si="14"/>
        <v>28.731316206239999</v>
      </c>
    </row>
    <row r="235" spans="1:13" ht="33.75" x14ac:dyDescent="0.25">
      <c r="A235" s="5" t="s">
        <v>226</v>
      </c>
      <c r="B235" s="6" t="s">
        <v>236</v>
      </c>
      <c r="C235" s="6" t="s">
        <v>15</v>
      </c>
      <c r="D235" s="6" t="s">
        <v>16</v>
      </c>
      <c r="E235" s="6" t="s">
        <v>3</v>
      </c>
      <c r="F235" s="6" t="s">
        <v>17</v>
      </c>
      <c r="G235" s="5" t="s">
        <v>283</v>
      </c>
      <c r="H235" s="6" t="s">
        <v>168</v>
      </c>
      <c r="I235" s="7">
        <v>533</v>
      </c>
      <c r="J235" s="6" t="s">
        <v>249</v>
      </c>
      <c r="K235" s="61"/>
      <c r="L235" s="20">
        <f>0.0533*11.36*117.5809</f>
        <v>71.193823979200005</v>
      </c>
      <c r="M235" s="20">
        <f t="shared" si="14"/>
        <v>21.358147193760001</v>
      </c>
    </row>
    <row r="236" spans="1:13" ht="33.75" x14ac:dyDescent="0.25">
      <c r="A236" s="5" t="s">
        <v>226</v>
      </c>
      <c r="B236" s="6" t="s">
        <v>236</v>
      </c>
      <c r="C236" s="6" t="s">
        <v>15</v>
      </c>
      <c r="D236" s="6" t="s">
        <v>16</v>
      </c>
      <c r="E236" s="6" t="s">
        <v>3</v>
      </c>
      <c r="F236" s="6" t="s">
        <v>17</v>
      </c>
      <c r="G236" s="5" t="s">
        <v>284</v>
      </c>
      <c r="H236" s="6" t="s">
        <v>168</v>
      </c>
      <c r="I236" s="7">
        <v>354</v>
      </c>
      <c r="J236" s="6" t="s">
        <v>249</v>
      </c>
      <c r="K236" s="61"/>
      <c r="L236" s="21">
        <f>0.0354*11.36*117.5809</f>
        <v>47.284453449600001</v>
      </c>
      <c r="M236" s="21">
        <f t="shared" si="14"/>
        <v>14.185336034880001</v>
      </c>
    </row>
    <row r="237" spans="1:13" ht="33.75" x14ac:dyDescent="0.25">
      <c r="A237" s="5" t="s">
        <v>226</v>
      </c>
      <c r="B237" s="6" t="s">
        <v>236</v>
      </c>
      <c r="C237" s="6" t="s">
        <v>15</v>
      </c>
      <c r="D237" s="6" t="s">
        <v>16</v>
      </c>
      <c r="E237" s="6" t="s">
        <v>3</v>
      </c>
      <c r="F237" s="6" t="s">
        <v>17</v>
      </c>
      <c r="G237" s="5" t="s">
        <v>285</v>
      </c>
      <c r="H237" s="6" t="s">
        <v>168</v>
      </c>
      <c r="I237" s="7">
        <v>29</v>
      </c>
      <c r="J237" s="6" t="s">
        <v>249</v>
      </c>
      <c r="K237" s="61"/>
      <c r="L237" s="20">
        <f>0.0029*11.36*117.5809</f>
        <v>3.8735851695999992</v>
      </c>
      <c r="M237" s="20">
        <f t="shared" si="14"/>
        <v>1.1620755508799998</v>
      </c>
    </row>
    <row r="238" spans="1:13" x14ac:dyDescent="0.25">
      <c r="A238" s="5"/>
      <c r="B238" s="6"/>
      <c r="C238" s="6"/>
      <c r="D238" s="6"/>
      <c r="E238" s="6"/>
      <c r="F238" s="6"/>
      <c r="G238" s="5"/>
      <c r="H238" s="13" t="s">
        <v>25</v>
      </c>
      <c r="I238" s="7">
        <f>SUM(I201:I237)</f>
        <v>12672</v>
      </c>
      <c r="J238" s="6"/>
      <c r="K238" s="62"/>
      <c r="L238" s="19">
        <f>SUM(L201:L237)</f>
        <v>1692.6231472127999</v>
      </c>
      <c r="M238" s="19">
        <f>SUM(M201:M237)</f>
        <v>507.78694416383991</v>
      </c>
    </row>
    <row r="239" spans="1:13" ht="31.5" x14ac:dyDescent="0.25">
      <c r="A239" s="5" t="s">
        <v>226</v>
      </c>
      <c r="B239" s="6" t="s">
        <v>236</v>
      </c>
      <c r="C239" s="6" t="s">
        <v>15</v>
      </c>
      <c r="D239" s="6" t="s">
        <v>16</v>
      </c>
      <c r="E239" s="6" t="s">
        <v>3</v>
      </c>
      <c r="F239" s="6" t="s">
        <v>17</v>
      </c>
      <c r="G239" s="5" t="s">
        <v>286</v>
      </c>
      <c r="H239" s="6" t="s">
        <v>24</v>
      </c>
      <c r="I239" s="7">
        <v>408</v>
      </c>
      <c r="J239" s="6" t="s">
        <v>287</v>
      </c>
      <c r="K239" s="24">
        <v>10</v>
      </c>
      <c r="L239" s="22">
        <f>0.0408*227.21*117.5809</f>
        <v>1089.9946965912002</v>
      </c>
      <c r="M239" s="22">
        <f t="shared" ref="M239:M249" si="15">L239*0.3</f>
        <v>326.99840897736004</v>
      </c>
    </row>
    <row r="240" spans="1:13" ht="31.5" x14ac:dyDescent="0.25">
      <c r="A240" s="5" t="s">
        <v>226</v>
      </c>
      <c r="B240" s="6" t="s">
        <v>236</v>
      </c>
      <c r="C240" s="6" t="s">
        <v>15</v>
      </c>
      <c r="D240" s="6" t="s">
        <v>16</v>
      </c>
      <c r="E240" s="6" t="s">
        <v>3</v>
      </c>
      <c r="F240" s="6" t="s">
        <v>17</v>
      </c>
      <c r="G240" s="5" t="s">
        <v>288</v>
      </c>
      <c r="H240" s="6" t="s">
        <v>24</v>
      </c>
      <c r="I240" s="7">
        <v>412</v>
      </c>
      <c r="J240" s="6" t="s">
        <v>287</v>
      </c>
      <c r="K240" s="24">
        <v>11</v>
      </c>
      <c r="L240" s="19">
        <f>0.0412*227.21*117.5809</f>
        <v>1100.6809191068</v>
      </c>
      <c r="M240" s="19">
        <f t="shared" si="15"/>
        <v>330.20427573204</v>
      </c>
    </row>
    <row r="241" spans="1:14" ht="31.5" x14ac:dyDescent="0.25">
      <c r="A241" s="5" t="s">
        <v>226</v>
      </c>
      <c r="B241" s="6" t="s">
        <v>236</v>
      </c>
      <c r="C241" s="6" t="s">
        <v>15</v>
      </c>
      <c r="D241" s="6" t="s">
        <v>16</v>
      </c>
      <c r="E241" s="6" t="s">
        <v>3</v>
      </c>
      <c r="F241" s="6" t="s">
        <v>17</v>
      </c>
      <c r="G241" s="5" t="s">
        <v>289</v>
      </c>
      <c r="H241" s="6" t="s">
        <v>22</v>
      </c>
      <c r="I241" s="7">
        <v>690</v>
      </c>
      <c r="J241" s="6" t="s">
        <v>290</v>
      </c>
      <c r="K241" s="24">
        <v>12</v>
      </c>
      <c r="L241" s="22">
        <f>0.069*60.59*117.5809</f>
        <v>491.57164443900007</v>
      </c>
      <c r="M241" s="22">
        <f t="shared" si="15"/>
        <v>147.4714933317</v>
      </c>
    </row>
    <row r="242" spans="1:14" ht="31.5" x14ac:dyDescent="0.25">
      <c r="A242" s="5" t="s">
        <v>226</v>
      </c>
      <c r="B242" s="6" t="s">
        <v>236</v>
      </c>
      <c r="C242" s="6" t="s">
        <v>15</v>
      </c>
      <c r="D242" s="6" t="s">
        <v>16</v>
      </c>
      <c r="E242" s="6" t="s">
        <v>3</v>
      </c>
      <c r="F242" s="6" t="s">
        <v>17</v>
      </c>
      <c r="G242" s="5" t="s">
        <v>291</v>
      </c>
      <c r="H242" s="6" t="s">
        <v>22</v>
      </c>
      <c r="I242" s="7">
        <v>680</v>
      </c>
      <c r="J242" s="6" t="s">
        <v>292</v>
      </c>
      <c r="K242" s="24">
        <v>13</v>
      </c>
      <c r="L242" s="19">
        <f>0.068*60.59*117.5809</f>
        <v>484.4474177080001</v>
      </c>
      <c r="M242" s="19">
        <f t="shared" si="15"/>
        <v>145.33422531240004</v>
      </c>
    </row>
    <row r="243" spans="1:14" ht="33.75" x14ac:dyDescent="0.25">
      <c r="A243" s="5" t="s">
        <v>226</v>
      </c>
      <c r="B243" s="6" t="s">
        <v>236</v>
      </c>
      <c r="C243" s="6" t="s">
        <v>15</v>
      </c>
      <c r="D243" s="6" t="s">
        <v>16</v>
      </c>
      <c r="E243" s="6" t="s">
        <v>3</v>
      </c>
      <c r="F243" s="6" t="s">
        <v>17</v>
      </c>
      <c r="G243" s="5" t="s">
        <v>293</v>
      </c>
      <c r="H243" s="6" t="s">
        <v>24</v>
      </c>
      <c r="I243" s="7">
        <v>68</v>
      </c>
      <c r="J243" s="6" t="s">
        <v>294</v>
      </c>
      <c r="K243" s="60">
        <v>14</v>
      </c>
      <c r="L243" s="20">
        <f>0.0068*227.21*117.5809</f>
        <v>181.66578276520002</v>
      </c>
      <c r="M243" s="20">
        <f t="shared" si="15"/>
        <v>54.499734829560005</v>
      </c>
    </row>
    <row r="244" spans="1:14" ht="33.75" x14ac:dyDescent="0.25">
      <c r="A244" s="5" t="s">
        <v>226</v>
      </c>
      <c r="B244" s="6" t="s">
        <v>236</v>
      </c>
      <c r="C244" s="6" t="s">
        <v>15</v>
      </c>
      <c r="D244" s="6" t="s">
        <v>16</v>
      </c>
      <c r="E244" s="6" t="s">
        <v>3</v>
      </c>
      <c r="F244" s="6" t="s">
        <v>17</v>
      </c>
      <c r="G244" s="5" t="s">
        <v>295</v>
      </c>
      <c r="H244" s="6" t="s">
        <v>24</v>
      </c>
      <c r="I244" s="7">
        <v>71</v>
      </c>
      <c r="J244" s="6" t="s">
        <v>294</v>
      </c>
      <c r="K244" s="61"/>
      <c r="L244" s="21">
        <f>0.0071*227.21*117.5809</f>
        <v>189.68044965190001</v>
      </c>
      <c r="M244" s="21">
        <f t="shared" si="15"/>
        <v>56.904134895570003</v>
      </c>
    </row>
    <row r="245" spans="1:14" ht="33.75" x14ac:dyDescent="0.25">
      <c r="A245" s="5" t="s">
        <v>226</v>
      </c>
      <c r="B245" s="6" t="s">
        <v>236</v>
      </c>
      <c r="C245" s="6" t="s">
        <v>15</v>
      </c>
      <c r="D245" s="6" t="s">
        <v>16</v>
      </c>
      <c r="E245" s="6" t="s">
        <v>3</v>
      </c>
      <c r="F245" s="6" t="s">
        <v>17</v>
      </c>
      <c r="G245" s="5" t="s">
        <v>296</v>
      </c>
      <c r="H245" s="6" t="s">
        <v>24</v>
      </c>
      <c r="I245" s="7">
        <v>73</v>
      </c>
      <c r="J245" s="6" t="s">
        <v>294</v>
      </c>
      <c r="K245" s="61"/>
      <c r="L245" s="20">
        <f>0.0073*227.21*117.5809</f>
        <v>195.0235609097</v>
      </c>
      <c r="M245" s="20">
        <f t="shared" si="15"/>
        <v>58.507068272909997</v>
      </c>
    </row>
    <row r="246" spans="1:14" ht="33.75" x14ac:dyDescent="0.25">
      <c r="A246" s="5" t="s">
        <v>226</v>
      </c>
      <c r="B246" s="6" t="s">
        <v>236</v>
      </c>
      <c r="C246" s="6" t="s">
        <v>15</v>
      </c>
      <c r="D246" s="6" t="s">
        <v>16</v>
      </c>
      <c r="E246" s="6" t="s">
        <v>3</v>
      </c>
      <c r="F246" s="6" t="s">
        <v>17</v>
      </c>
      <c r="G246" s="5" t="s">
        <v>297</v>
      </c>
      <c r="H246" s="6" t="s">
        <v>24</v>
      </c>
      <c r="I246" s="7">
        <v>74</v>
      </c>
      <c r="J246" s="6" t="s">
        <v>294</v>
      </c>
      <c r="K246" s="61"/>
      <c r="L246" s="21">
        <f>0.0074*227.21*117.5809</f>
        <v>197.69511653860002</v>
      </c>
      <c r="M246" s="21">
        <f t="shared" si="15"/>
        <v>59.308534961580001</v>
      </c>
    </row>
    <row r="247" spans="1:14" ht="33.75" x14ac:dyDescent="0.25">
      <c r="A247" s="5" t="s">
        <v>226</v>
      </c>
      <c r="B247" s="6" t="s">
        <v>236</v>
      </c>
      <c r="C247" s="6" t="s">
        <v>15</v>
      </c>
      <c r="D247" s="6" t="s">
        <v>16</v>
      </c>
      <c r="E247" s="6" t="s">
        <v>3</v>
      </c>
      <c r="F247" s="6" t="s">
        <v>17</v>
      </c>
      <c r="G247" s="5" t="s">
        <v>298</v>
      </c>
      <c r="H247" s="6" t="s">
        <v>24</v>
      </c>
      <c r="I247" s="7">
        <v>80</v>
      </c>
      <c r="J247" s="6" t="s">
        <v>294</v>
      </c>
      <c r="K247" s="61"/>
      <c r="L247" s="20">
        <f>0.008*227.21*117.5809</f>
        <v>213.72445031200002</v>
      </c>
      <c r="M247" s="20">
        <f t="shared" si="15"/>
        <v>64.117335093600005</v>
      </c>
    </row>
    <row r="248" spans="1:14" ht="33.75" x14ac:dyDescent="0.25">
      <c r="A248" s="5" t="s">
        <v>226</v>
      </c>
      <c r="B248" s="6" t="s">
        <v>236</v>
      </c>
      <c r="C248" s="6" t="s">
        <v>15</v>
      </c>
      <c r="D248" s="6" t="s">
        <v>16</v>
      </c>
      <c r="E248" s="6" t="s">
        <v>3</v>
      </c>
      <c r="F248" s="6" t="s">
        <v>17</v>
      </c>
      <c r="G248" s="5" t="s">
        <v>299</v>
      </c>
      <c r="H248" s="6" t="s">
        <v>24</v>
      </c>
      <c r="I248" s="7">
        <v>64</v>
      </c>
      <c r="J248" s="6" t="s">
        <v>294</v>
      </c>
      <c r="K248" s="61"/>
      <c r="L248" s="21">
        <f>0.0064*227.21*117.5809</f>
        <v>170.97956024960001</v>
      </c>
      <c r="M248" s="21">
        <f t="shared" si="15"/>
        <v>51.293868074880002</v>
      </c>
    </row>
    <row r="249" spans="1:14" ht="33.75" x14ac:dyDescent="0.25">
      <c r="A249" s="5" t="s">
        <v>226</v>
      </c>
      <c r="B249" s="6" t="s">
        <v>236</v>
      </c>
      <c r="C249" s="6" t="s">
        <v>15</v>
      </c>
      <c r="D249" s="6" t="s">
        <v>16</v>
      </c>
      <c r="E249" s="6" t="s">
        <v>3</v>
      </c>
      <c r="F249" s="6" t="s">
        <v>17</v>
      </c>
      <c r="G249" s="5" t="s">
        <v>300</v>
      </c>
      <c r="H249" s="6" t="s">
        <v>24</v>
      </c>
      <c r="I249" s="7">
        <v>8</v>
      </c>
      <c r="J249" s="6" t="s">
        <v>294</v>
      </c>
      <c r="K249" s="61"/>
      <c r="L249" s="20">
        <f>0.0008*227.21*117.5809</f>
        <v>21.372445031200002</v>
      </c>
      <c r="M249" s="20">
        <f t="shared" si="15"/>
        <v>6.4117335093600003</v>
      </c>
      <c r="N249" s="17"/>
    </row>
    <row r="250" spans="1:14" x14ac:dyDescent="0.25">
      <c r="A250" s="5"/>
      <c r="B250" s="6"/>
      <c r="C250" s="6"/>
      <c r="D250" s="6"/>
      <c r="E250" s="6"/>
      <c r="F250" s="6"/>
      <c r="G250" s="5"/>
      <c r="H250" s="13" t="s">
        <v>25</v>
      </c>
      <c r="I250" s="7">
        <f>SUM(I243:I249)</f>
        <v>438</v>
      </c>
      <c r="J250" s="6"/>
      <c r="K250" s="61"/>
      <c r="L250" s="21">
        <f>SUM(L243:L249)</f>
        <v>1170.1413654582</v>
      </c>
      <c r="M250" s="21">
        <f>SUM(M243:M249)</f>
        <v>351.04240963745997</v>
      </c>
    </row>
    <row r="251" spans="1:14" ht="33.75" x14ac:dyDescent="0.25">
      <c r="A251" s="5" t="s">
        <v>226</v>
      </c>
      <c r="B251" s="6" t="s">
        <v>236</v>
      </c>
      <c r="C251" s="6" t="s">
        <v>15</v>
      </c>
      <c r="D251" s="6" t="s">
        <v>16</v>
      </c>
      <c r="E251" s="6" t="s">
        <v>3</v>
      </c>
      <c r="F251" s="6" t="s">
        <v>17</v>
      </c>
      <c r="G251" s="5" t="s">
        <v>301</v>
      </c>
      <c r="H251" s="6" t="s">
        <v>24</v>
      </c>
      <c r="I251" s="7">
        <v>241</v>
      </c>
      <c r="J251" s="6" t="s">
        <v>294</v>
      </c>
      <c r="K251" s="24">
        <v>15</v>
      </c>
      <c r="L251" s="22">
        <f>0.0241*227.21*117.5809</f>
        <v>643.84490656490004</v>
      </c>
      <c r="M251" s="22">
        <f>L251*0.3</f>
        <v>193.15347196947002</v>
      </c>
    </row>
    <row r="252" spans="1:14" ht="33.75" x14ac:dyDescent="0.25">
      <c r="A252" s="5" t="s">
        <v>302</v>
      </c>
      <c r="B252" s="6" t="s">
        <v>303</v>
      </c>
      <c r="C252" s="6" t="s">
        <v>15</v>
      </c>
      <c r="D252" s="6" t="s">
        <v>16</v>
      </c>
      <c r="E252" s="6" t="s">
        <v>3</v>
      </c>
      <c r="F252" s="6" t="s">
        <v>17</v>
      </c>
      <c r="G252" s="5" t="s">
        <v>304</v>
      </c>
      <c r="H252" s="6" t="s">
        <v>305</v>
      </c>
      <c r="I252" s="7">
        <v>13318</v>
      </c>
      <c r="J252" s="6" t="s">
        <v>306</v>
      </c>
      <c r="K252" s="61">
        <v>1</v>
      </c>
      <c r="L252" s="16">
        <f>1.3318*12.76*117.5809</f>
        <v>1998.1425358311999</v>
      </c>
      <c r="M252" s="16">
        <f>L252*0.3</f>
        <v>599.44276074935999</v>
      </c>
    </row>
    <row r="253" spans="1:14" ht="33.75" x14ac:dyDescent="0.25">
      <c r="A253" s="5" t="s">
        <v>302</v>
      </c>
      <c r="B253" s="6" t="s">
        <v>303</v>
      </c>
      <c r="C253" s="6" t="s">
        <v>15</v>
      </c>
      <c r="D253" s="6" t="s">
        <v>16</v>
      </c>
      <c r="E253" s="6" t="s">
        <v>3</v>
      </c>
      <c r="F253" s="6" t="s">
        <v>17</v>
      </c>
      <c r="G253" s="5" t="s">
        <v>307</v>
      </c>
      <c r="H253" s="6" t="s">
        <v>305</v>
      </c>
      <c r="I253" s="7">
        <v>9402</v>
      </c>
      <c r="J253" s="6" t="s">
        <v>308</v>
      </c>
      <c r="K253" s="61"/>
      <c r="L253" s="12">
        <f>0.9402*12.76*117.5809</f>
        <v>1410.6124134168001</v>
      </c>
      <c r="M253" s="12">
        <f>L253*0.3</f>
        <v>423.18372402504002</v>
      </c>
    </row>
    <row r="254" spans="1:14" x14ac:dyDescent="0.25">
      <c r="A254" s="5"/>
      <c r="B254" s="6"/>
      <c r="C254" s="6"/>
      <c r="D254" s="6"/>
      <c r="E254" s="6"/>
      <c r="F254" s="6"/>
      <c r="G254" s="5"/>
      <c r="H254" s="13" t="s">
        <v>25</v>
      </c>
      <c r="I254" s="7">
        <f>SUM(I252:I253)</f>
        <v>22720</v>
      </c>
      <c r="J254" s="6"/>
      <c r="K254" s="62"/>
      <c r="L254" s="25">
        <f>SUM(L252:L253)</f>
        <v>3408.7549492480002</v>
      </c>
      <c r="M254" s="25">
        <f>SUM(M252:M253)</f>
        <v>1022.6264847744001</v>
      </c>
    </row>
    <row r="255" spans="1:14" ht="45" x14ac:dyDescent="0.25">
      <c r="A255" s="5" t="s">
        <v>302</v>
      </c>
      <c r="B255" s="6" t="s">
        <v>303</v>
      </c>
      <c r="C255" s="6" t="s">
        <v>15</v>
      </c>
      <c r="D255" s="6" t="s">
        <v>16</v>
      </c>
      <c r="E255" s="6" t="s">
        <v>3</v>
      </c>
      <c r="F255" s="6" t="s">
        <v>17</v>
      </c>
      <c r="G255" s="5" t="s">
        <v>309</v>
      </c>
      <c r="H255" s="6" t="s">
        <v>179</v>
      </c>
      <c r="I255" s="7">
        <v>1526</v>
      </c>
      <c r="J255" s="6" t="s">
        <v>216</v>
      </c>
      <c r="K255" s="24">
        <v>2</v>
      </c>
      <c r="L255" s="9">
        <f>0.1526*280.51*117.5809</f>
        <v>5033.1475463234001</v>
      </c>
      <c r="M255" s="9">
        <f t="shared" ref="M255:M261" si="16">L255*0.3</f>
        <v>1509.9442638970199</v>
      </c>
    </row>
    <row r="256" spans="1:14" ht="45" x14ac:dyDescent="0.25">
      <c r="A256" s="5" t="s">
        <v>302</v>
      </c>
      <c r="B256" s="6" t="s">
        <v>303</v>
      </c>
      <c r="C256" s="6" t="s">
        <v>15</v>
      </c>
      <c r="D256" s="6" t="s">
        <v>16</v>
      </c>
      <c r="E256" s="6" t="s">
        <v>3</v>
      </c>
      <c r="F256" s="6" t="s">
        <v>17</v>
      </c>
      <c r="G256" s="5" t="s">
        <v>310</v>
      </c>
      <c r="H256" s="6" t="s">
        <v>179</v>
      </c>
      <c r="I256" s="7">
        <v>1268</v>
      </c>
      <c r="J256" s="6" t="s">
        <v>216</v>
      </c>
      <c r="K256" s="24">
        <v>3</v>
      </c>
      <c r="L256" s="15">
        <f>0.1268*280.51*117.5809</f>
        <v>4182.1959952411999</v>
      </c>
      <c r="M256" s="15">
        <f t="shared" si="16"/>
        <v>1254.65879857236</v>
      </c>
    </row>
    <row r="257" spans="1:15" ht="22.5" x14ac:dyDescent="0.25">
      <c r="A257" s="5" t="s">
        <v>302</v>
      </c>
      <c r="B257" s="6" t="s">
        <v>303</v>
      </c>
      <c r="C257" s="6" t="s">
        <v>15</v>
      </c>
      <c r="D257" s="6" t="s">
        <v>16</v>
      </c>
      <c r="E257" s="6" t="s">
        <v>3</v>
      </c>
      <c r="F257" s="6" t="s">
        <v>17</v>
      </c>
      <c r="G257" s="5" t="s">
        <v>311</v>
      </c>
      <c r="H257" s="6" t="s">
        <v>179</v>
      </c>
      <c r="I257" s="7">
        <v>860</v>
      </c>
      <c r="J257" s="6" t="s">
        <v>33</v>
      </c>
      <c r="K257" s="24">
        <v>4</v>
      </c>
      <c r="L257" s="9">
        <f>0.086*280.51*117.5809</f>
        <v>2836.5051702739997</v>
      </c>
      <c r="M257" s="9">
        <f t="shared" si="16"/>
        <v>850.9515510821999</v>
      </c>
    </row>
    <row r="258" spans="1:15" ht="45" x14ac:dyDescent="0.25">
      <c r="A258" s="5" t="s">
        <v>302</v>
      </c>
      <c r="B258" s="6" t="s">
        <v>303</v>
      </c>
      <c r="C258" s="6" t="s">
        <v>15</v>
      </c>
      <c r="D258" s="6" t="s">
        <v>16</v>
      </c>
      <c r="E258" s="6" t="s">
        <v>3</v>
      </c>
      <c r="F258" s="6" t="s">
        <v>17</v>
      </c>
      <c r="G258" s="5" t="s">
        <v>312</v>
      </c>
      <c r="H258" s="6" t="s">
        <v>28</v>
      </c>
      <c r="I258" s="7">
        <v>5503</v>
      </c>
      <c r="J258" s="6" t="s">
        <v>216</v>
      </c>
      <c r="K258" s="24">
        <v>5</v>
      </c>
      <c r="L258" s="15">
        <f>0.5503*255.26*117.5809</f>
        <v>16516.539403860199</v>
      </c>
      <c r="M258" s="15">
        <f t="shared" si="16"/>
        <v>4954.9618211580591</v>
      </c>
    </row>
    <row r="259" spans="1:15" ht="45" x14ac:dyDescent="0.25">
      <c r="A259" s="5" t="s">
        <v>302</v>
      </c>
      <c r="B259" s="6" t="s">
        <v>303</v>
      </c>
      <c r="C259" s="6" t="s">
        <v>15</v>
      </c>
      <c r="D259" s="6" t="s">
        <v>16</v>
      </c>
      <c r="E259" s="6" t="s">
        <v>3</v>
      </c>
      <c r="F259" s="6" t="s">
        <v>17</v>
      </c>
      <c r="G259" s="5" t="s">
        <v>14</v>
      </c>
      <c r="H259" s="6" t="s">
        <v>28</v>
      </c>
      <c r="I259" s="7">
        <v>6785</v>
      </c>
      <c r="J259" s="6" t="s">
        <v>216</v>
      </c>
      <c r="K259" s="24">
        <v>6</v>
      </c>
      <c r="L259" s="9">
        <f>0.6785*255.26*117.5809</f>
        <v>20364.295812319</v>
      </c>
      <c r="M259" s="9">
        <f t="shared" si="16"/>
        <v>6109.2887436956998</v>
      </c>
    </row>
    <row r="260" spans="1:15" ht="45" x14ac:dyDescent="0.25">
      <c r="A260" s="5" t="s">
        <v>302</v>
      </c>
      <c r="B260" s="6" t="s">
        <v>303</v>
      </c>
      <c r="C260" s="6" t="s">
        <v>15</v>
      </c>
      <c r="D260" s="6" t="s">
        <v>16</v>
      </c>
      <c r="E260" s="6" t="s">
        <v>3</v>
      </c>
      <c r="F260" s="6" t="s">
        <v>17</v>
      </c>
      <c r="G260" s="5" t="s">
        <v>313</v>
      </c>
      <c r="H260" s="6" t="s">
        <v>28</v>
      </c>
      <c r="I260" s="7">
        <v>1376</v>
      </c>
      <c r="J260" s="6" t="s">
        <v>216</v>
      </c>
      <c r="K260" s="60">
        <v>7</v>
      </c>
      <c r="L260" s="16">
        <f>0.1376*255.26*117.5809</f>
        <v>4129.8851934783997</v>
      </c>
      <c r="M260" s="16">
        <f t="shared" si="16"/>
        <v>1238.9655580435199</v>
      </c>
    </row>
    <row r="261" spans="1:15" ht="45" x14ac:dyDescent="0.25">
      <c r="A261" s="5" t="s">
        <v>302</v>
      </c>
      <c r="B261" s="6" t="s">
        <v>303</v>
      </c>
      <c r="C261" s="6" t="s">
        <v>15</v>
      </c>
      <c r="D261" s="6" t="s">
        <v>16</v>
      </c>
      <c r="E261" s="6" t="s">
        <v>3</v>
      </c>
      <c r="F261" s="6" t="s">
        <v>17</v>
      </c>
      <c r="G261" s="5" t="s">
        <v>314</v>
      </c>
      <c r="H261" s="6" t="s">
        <v>125</v>
      </c>
      <c r="I261" s="7">
        <v>24162</v>
      </c>
      <c r="J261" s="6" t="s">
        <v>216</v>
      </c>
      <c r="K261" s="61"/>
      <c r="L261" s="12">
        <f>2.4162*201.96*117.5809</f>
        <v>57376.628098336798</v>
      </c>
      <c r="M261" s="12">
        <f t="shared" si="16"/>
        <v>17212.988429501038</v>
      </c>
    </row>
    <row r="262" spans="1:15" x14ac:dyDescent="0.25">
      <c r="A262" s="5"/>
      <c r="B262" s="6"/>
      <c r="C262" s="6"/>
      <c r="D262" s="6"/>
      <c r="E262" s="6"/>
      <c r="F262" s="6"/>
      <c r="G262" s="5"/>
      <c r="H262" s="13" t="s">
        <v>25</v>
      </c>
      <c r="I262" s="7">
        <f>SUM(I260:I261)</f>
        <v>25538</v>
      </c>
      <c r="J262" s="6"/>
      <c r="K262" s="62"/>
      <c r="L262" s="25">
        <f>SUM(L260:L261)</f>
        <v>61506.513291815194</v>
      </c>
      <c r="M262" s="25">
        <f>SUM(M260:M261)</f>
        <v>18451.953987544559</v>
      </c>
    </row>
    <row r="263" spans="1:15" ht="45" x14ac:dyDescent="0.25">
      <c r="A263" s="5" t="s">
        <v>302</v>
      </c>
      <c r="B263" s="6" t="s">
        <v>303</v>
      </c>
      <c r="C263" s="6" t="s">
        <v>15</v>
      </c>
      <c r="D263" s="6" t="s">
        <v>16</v>
      </c>
      <c r="E263" s="6" t="s">
        <v>3</v>
      </c>
      <c r="F263" s="6" t="s">
        <v>17</v>
      </c>
      <c r="G263" s="5" t="s">
        <v>315</v>
      </c>
      <c r="H263" s="6" t="s">
        <v>179</v>
      </c>
      <c r="I263" s="7">
        <v>5436</v>
      </c>
      <c r="J263" s="6" t="s">
        <v>216</v>
      </c>
      <c r="K263" s="24">
        <v>8</v>
      </c>
      <c r="L263" s="9">
        <f>0.5436*280.51*117.5809</f>
        <v>17929.351285592398</v>
      </c>
      <c r="M263" s="9">
        <f t="shared" ref="M263:M269" si="17">L263*0.3</f>
        <v>5378.8053856777196</v>
      </c>
    </row>
    <row r="264" spans="1:15" ht="45" x14ac:dyDescent="0.25">
      <c r="A264" s="5" t="s">
        <v>302</v>
      </c>
      <c r="B264" s="6" t="s">
        <v>303</v>
      </c>
      <c r="C264" s="6" t="s">
        <v>15</v>
      </c>
      <c r="D264" s="6" t="s">
        <v>16</v>
      </c>
      <c r="E264" s="6" t="s">
        <v>3</v>
      </c>
      <c r="F264" s="6" t="s">
        <v>17</v>
      </c>
      <c r="G264" s="5" t="s">
        <v>316</v>
      </c>
      <c r="H264" s="6" t="s">
        <v>59</v>
      </c>
      <c r="I264" s="7">
        <v>518</v>
      </c>
      <c r="J264" s="6" t="s">
        <v>216</v>
      </c>
      <c r="K264" s="24">
        <v>9</v>
      </c>
      <c r="L264" s="15">
        <f>0.0518*45.44*117.5809</f>
        <v>276.76098177279999</v>
      </c>
      <c r="M264" s="15">
        <f t="shared" si="17"/>
        <v>83.02829453183999</v>
      </c>
    </row>
    <row r="265" spans="1:15" ht="22.5" x14ac:dyDescent="0.25">
      <c r="A265" s="5" t="s">
        <v>302</v>
      </c>
      <c r="B265" s="6" t="s">
        <v>303</v>
      </c>
      <c r="C265" s="6" t="s">
        <v>15</v>
      </c>
      <c r="D265" s="6" t="s">
        <v>16</v>
      </c>
      <c r="E265" s="6" t="s">
        <v>3</v>
      </c>
      <c r="F265" s="6" t="s">
        <v>17</v>
      </c>
      <c r="G265" s="5" t="s">
        <v>317</v>
      </c>
      <c r="H265" s="6" t="s">
        <v>28</v>
      </c>
      <c r="I265" s="7">
        <v>4470</v>
      </c>
      <c r="J265" s="6" t="s">
        <v>318</v>
      </c>
      <c r="K265" s="26">
        <v>10</v>
      </c>
      <c r="L265" s="9">
        <f>0.447*255.26*117.5809</f>
        <v>13416.124138698</v>
      </c>
      <c r="M265" s="9">
        <f t="shared" si="17"/>
        <v>4024.8372416093998</v>
      </c>
    </row>
    <row r="266" spans="1:15" ht="45" x14ac:dyDescent="0.25">
      <c r="A266" s="5" t="s">
        <v>302</v>
      </c>
      <c r="B266" s="6" t="s">
        <v>303</v>
      </c>
      <c r="C266" s="6" t="s">
        <v>15</v>
      </c>
      <c r="D266" s="6" t="s">
        <v>16</v>
      </c>
      <c r="E266" s="6" t="s">
        <v>3</v>
      </c>
      <c r="F266" s="6" t="s">
        <v>17</v>
      </c>
      <c r="G266" s="5" t="s">
        <v>319</v>
      </c>
      <c r="H266" s="6" t="s">
        <v>28</v>
      </c>
      <c r="I266" s="7">
        <v>3717</v>
      </c>
      <c r="J266" s="6" t="s">
        <v>216</v>
      </c>
      <c r="K266" s="24">
        <v>11</v>
      </c>
      <c r="L266" s="15">
        <f>0.3717*255.26*117.5809</f>
        <v>11156.092488487799</v>
      </c>
      <c r="M266" s="15">
        <f t="shared" si="17"/>
        <v>3346.8277465463393</v>
      </c>
    </row>
    <row r="267" spans="1:15" ht="45" x14ac:dyDescent="0.25">
      <c r="A267" s="5" t="s">
        <v>302</v>
      </c>
      <c r="B267" s="6" t="s">
        <v>303</v>
      </c>
      <c r="C267" s="6" t="s">
        <v>15</v>
      </c>
      <c r="D267" s="6" t="s">
        <v>16</v>
      </c>
      <c r="E267" s="6" t="s">
        <v>3</v>
      </c>
      <c r="F267" s="6" t="s">
        <v>17</v>
      </c>
      <c r="G267" s="5" t="s">
        <v>320</v>
      </c>
      <c r="H267" s="6" t="s">
        <v>28</v>
      </c>
      <c r="I267" s="7">
        <v>3694</v>
      </c>
      <c r="J267" s="6" t="s">
        <v>216</v>
      </c>
      <c r="K267" s="24">
        <v>12</v>
      </c>
      <c r="L267" s="9">
        <f>0.3694*255.26*117.5809</f>
        <v>11087.0609772596</v>
      </c>
      <c r="M267" s="9">
        <f t="shared" si="17"/>
        <v>3326.1182931778799</v>
      </c>
    </row>
    <row r="268" spans="1:15" ht="22.5" x14ac:dyDescent="0.25">
      <c r="A268" s="27" t="s">
        <v>302</v>
      </c>
      <c r="B268" s="28" t="s">
        <v>303</v>
      </c>
      <c r="C268" s="28" t="s">
        <v>15</v>
      </c>
      <c r="D268" s="28" t="s">
        <v>16</v>
      </c>
      <c r="E268" s="28" t="s">
        <v>3</v>
      </c>
      <c r="F268" s="28" t="s">
        <v>17</v>
      </c>
      <c r="G268" s="27" t="s">
        <v>321</v>
      </c>
      <c r="H268" s="28" t="s">
        <v>24</v>
      </c>
      <c r="I268" s="29">
        <v>864</v>
      </c>
      <c r="J268" s="28" t="s">
        <v>322</v>
      </c>
      <c r="K268" s="60">
        <v>13</v>
      </c>
      <c r="L268" s="16">
        <f>0.0864*227.21*117.5809</f>
        <v>2308.2240633696006</v>
      </c>
      <c r="M268" s="16">
        <f t="shared" si="17"/>
        <v>692.46721901088017</v>
      </c>
    </row>
    <row r="269" spans="1:15" ht="22.5" x14ac:dyDescent="0.25">
      <c r="A269" s="5" t="s">
        <v>302</v>
      </c>
      <c r="B269" s="6" t="s">
        <v>303</v>
      </c>
      <c r="C269" s="6" t="s">
        <v>15</v>
      </c>
      <c r="D269" s="6" t="s">
        <v>16</v>
      </c>
      <c r="E269" s="6" t="s">
        <v>3</v>
      </c>
      <c r="F269" s="6" t="s">
        <v>17</v>
      </c>
      <c r="G269" s="5" t="s">
        <v>323</v>
      </c>
      <c r="H269" s="6" t="s">
        <v>24</v>
      </c>
      <c r="I269" s="7">
        <v>1849</v>
      </c>
      <c r="J269" s="6" t="s">
        <v>322</v>
      </c>
      <c r="K269" s="61"/>
      <c r="L269" s="12">
        <f>0.1849*227.21*117.5809</f>
        <v>4939.7063578361003</v>
      </c>
      <c r="M269" s="12">
        <f t="shared" si="17"/>
        <v>1481.91190735083</v>
      </c>
    </row>
    <row r="270" spans="1:15" x14ac:dyDescent="0.25">
      <c r="A270" s="5"/>
      <c r="B270" s="6"/>
      <c r="C270" s="6"/>
      <c r="D270" s="6"/>
      <c r="E270" s="6"/>
      <c r="F270" s="6"/>
      <c r="G270" s="5"/>
      <c r="H270" s="13" t="s">
        <v>25</v>
      </c>
      <c r="I270" s="7">
        <f>SUM(I268:I269)</f>
        <v>2713</v>
      </c>
      <c r="J270" s="6"/>
      <c r="K270" s="62"/>
      <c r="L270" s="25">
        <f>SUM(L268:L269)</f>
        <v>7247.9304212057014</v>
      </c>
      <c r="M270" s="25">
        <f>SUM(M268:M269)</f>
        <v>2174.3791263617104</v>
      </c>
    </row>
    <row r="271" spans="1:15" ht="22.5" x14ac:dyDescent="0.25">
      <c r="A271" s="5" t="s">
        <v>302</v>
      </c>
      <c r="B271" s="6" t="s">
        <v>303</v>
      </c>
      <c r="C271" s="6" t="s">
        <v>15</v>
      </c>
      <c r="D271" s="6" t="s">
        <v>16</v>
      </c>
      <c r="E271" s="6" t="s">
        <v>3</v>
      </c>
      <c r="F271" s="6" t="s">
        <v>17</v>
      </c>
      <c r="G271" s="5" t="s">
        <v>324</v>
      </c>
      <c r="H271" s="6" t="s">
        <v>24</v>
      </c>
      <c r="I271" s="7">
        <v>797</v>
      </c>
      <c r="J271" s="6" t="s">
        <v>322</v>
      </c>
      <c r="K271" s="24">
        <v>14</v>
      </c>
      <c r="L271" s="9">
        <f>0.0797*227.21*117.5809</f>
        <v>2129.2298362332999</v>
      </c>
      <c r="M271" s="9">
        <f>L271*0.3</f>
        <v>638.76895086998991</v>
      </c>
    </row>
    <row r="272" spans="1:15" ht="22.5" x14ac:dyDescent="0.25">
      <c r="A272" s="5" t="s">
        <v>302</v>
      </c>
      <c r="B272" s="6" t="s">
        <v>303</v>
      </c>
      <c r="C272" s="6" t="s">
        <v>15</v>
      </c>
      <c r="D272" s="6" t="s">
        <v>16</v>
      </c>
      <c r="E272" s="6" t="s">
        <v>3</v>
      </c>
      <c r="F272" s="6" t="s">
        <v>17</v>
      </c>
      <c r="G272" s="5" t="s">
        <v>325</v>
      </c>
      <c r="H272" s="6" t="s">
        <v>28</v>
      </c>
      <c r="I272" s="7">
        <v>2023</v>
      </c>
      <c r="J272" s="6" t="s">
        <v>322</v>
      </c>
      <c r="K272" s="24">
        <v>15</v>
      </c>
      <c r="L272" s="15">
        <f>0.2023*255.26*117.5809</f>
        <v>6071.7716180281996</v>
      </c>
      <c r="M272" s="15">
        <f>L272*0.3</f>
        <v>1821.5314854084597</v>
      </c>
      <c r="N272" s="17"/>
      <c r="O272" s="17"/>
    </row>
    <row r="273" spans="1:15" ht="22.5" x14ac:dyDescent="0.25">
      <c r="A273" s="5" t="s">
        <v>302</v>
      </c>
      <c r="B273" s="6">
        <v>1822</v>
      </c>
      <c r="C273" s="6" t="s">
        <v>15</v>
      </c>
      <c r="D273" s="6" t="s">
        <v>16</v>
      </c>
      <c r="E273" s="6" t="s">
        <v>3</v>
      </c>
      <c r="F273" s="6" t="s">
        <v>17</v>
      </c>
      <c r="G273" s="5">
        <v>1114</v>
      </c>
      <c r="H273" s="6" t="s">
        <v>326</v>
      </c>
      <c r="I273" s="7">
        <v>3163</v>
      </c>
      <c r="J273" s="6" t="s">
        <v>97</v>
      </c>
      <c r="K273" s="60">
        <v>16</v>
      </c>
      <c r="L273" s="12">
        <f>0.3163*45.44*117.5809</f>
        <v>1689.9517091647999</v>
      </c>
      <c r="M273" s="12">
        <f>L273*0.3</f>
        <v>506.98551274943998</v>
      </c>
      <c r="N273" s="17"/>
      <c r="O273" s="17"/>
    </row>
    <row r="274" spans="1:15" ht="67.5" x14ac:dyDescent="0.25">
      <c r="A274" s="5" t="s">
        <v>302</v>
      </c>
      <c r="B274" s="6">
        <v>1822</v>
      </c>
      <c r="C274" s="6" t="s">
        <v>15</v>
      </c>
      <c r="D274" s="6" t="s">
        <v>16</v>
      </c>
      <c r="E274" s="6" t="s">
        <v>3</v>
      </c>
      <c r="F274" s="6" t="s">
        <v>17</v>
      </c>
      <c r="G274" s="5">
        <v>1115</v>
      </c>
      <c r="H274" s="6" t="s">
        <v>327</v>
      </c>
      <c r="I274" s="7">
        <v>1324</v>
      </c>
      <c r="J274" s="6" t="s">
        <v>97</v>
      </c>
      <c r="K274" s="61"/>
      <c r="L274" s="12">
        <f>0.1324*280.51*117.5809</f>
        <v>4366.8986574915989</v>
      </c>
      <c r="M274" s="12">
        <f>L274*0.3</f>
        <v>1310.0695972474796</v>
      </c>
      <c r="N274" s="17"/>
      <c r="O274" s="17"/>
    </row>
    <row r="275" spans="1:15" x14ac:dyDescent="0.25">
      <c r="A275" s="5"/>
      <c r="B275" s="6"/>
      <c r="C275" s="6"/>
      <c r="D275" s="6"/>
      <c r="E275" s="6"/>
      <c r="F275" s="6"/>
      <c r="G275" s="5"/>
      <c r="H275" s="13" t="s">
        <v>25</v>
      </c>
      <c r="I275" s="7">
        <f>+SUM(I273:I274)</f>
        <v>4487</v>
      </c>
      <c r="J275" s="6"/>
      <c r="K275" s="62"/>
      <c r="L275" s="30">
        <f>SUM(L273:L274)</f>
        <v>6056.8503666563993</v>
      </c>
      <c r="M275" s="30">
        <f>SUM(M273:M274)</f>
        <v>1817.0551099969196</v>
      </c>
      <c r="N275" s="17"/>
      <c r="O275" s="17"/>
    </row>
    <row r="276" spans="1:15" ht="22.5" x14ac:dyDescent="0.25">
      <c r="A276" s="5" t="s">
        <v>328</v>
      </c>
      <c r="B276" s="6" t="s">
        <v>329</v>
      </c>
      <c r="C276" s="6" t="s">
        <v>15</v>
      </c>
      <c r="D276" s="6" t="s">
        <v>16</v>
      </c>
      <c r="E276" s="6" t="s">
        <v>3</v>
      </c>
      <c r="F276" s="6" t="s">
        <v>17</v>
      </c>
      <c r="G276" s="5" t="s">
        <v>330</v>
      </c>
      <c r="H276" s="6" t="s">
        <v>28</v>
      </c>
      <c r="I276" s="7">
        <v>807</v>
      </c>
      <c r="J276" s="6" t="s">
        <v>331</v>
      </c>
      <c r="K276" s="24">
        <v>1</v>
      </c>
      <c r="L276" s="15">
        <f>0.0807*255.26*117.5809</f>
        <v>2422.1056330938</v>
      </c>
      <c r="M276" s="15">
        <f t="shared" ref="M276:M289" si="18">L276*0.3</f>
        <v>726.63168992813996</v>
      </c>
    </row>
    <row r="277" spans="1:15" ht="22.5" x14ac:dyDescent="0.25">
      <c r="A277" s="5" t="s">
        <v>328</v>
      </c>
      <c r="B277" s="6" t="s">
        <v>329</v>
      </c>
      <c r="C277" s="6" t="s">
        <v>15</v>
      </c>
      <c r="D277" s="6" t="s">
        <v>16</v>
      </c>
      <c r="E277" s="6" t="s">
        <v>3</v>
      </c>
      <c r="F277" s="6" t="s">
        <v>17</v>
      </c>
      <c r="G277" s="5" t="s">
        <v>332</v>
      </c>
      <c r="H277" s="6" t="s">
        <v>28</v>
      </c>
      <c r="I277" s="7">
        <v>607</v>
      </c>
      <c r="J277" s="6" t="s">
        <v>331</v>
      </c>
      <c r="K277" s="24">
        <v>2</v>
      </c>
      <c r="L277" s="9">
        <f>0.0607*255.26*117.5809</f>
        <v>1821.8316224137998</v>
      </c>
      <c r="M277" s="9">
        <f t="shared" si="18"/>
        <v>546.54948672413991</v>
      </c>
    </row>
    <row r="278" spans="1:15" ht="33.75" x14ac:dyDescent="0.25">
      <c r="A278" s="5" t="s">
        <v>328</v>
      </c>
      <c r="B278" s="6" t="s">
        <v>329</v>
      </c>
      <c r="C278" s="6" t="s">
        <v>15</v>
      </c>
      <c r="D278" s="6" t="s">
        <v>16</v>
      </c>
      <c r="E278" s="6" t="s">
        <v>3</v>
      </c>
      <c r="F278" s="6" t="s">
        <v>17</v>
      </c>
      <c r="G278" s="5" t="s">
        <v>333</v>
      </c>
      <c r="H278" s="6" t="s">
        <v>334</v>
      </c>
      <c r="I278" s="7">
        <v>311</v>
      </c>
      <c r="J278" s="6" t="s">
        <v>335</v>
      </c>
      <c r="K278" s="24">
        <v>3</v>
      </c>
      <c r="L278" s="15">
        <f>0.0311*255.26*117.5809</f>
        <v>933.42608660739995</v>
      </c>
      <c r="M278" s="15">
        <f t="shared" si="18"/>
        <v>280.02782598221995</v>
      </c>
    </row>
    <row r="279" spans="1:15" ht="33.75" x14ac:dyDescent="0.25">
      <c r="A279" s="5" t="s">
        <v>328</v>
      </c>
      <c r="B279" s="6" t="s">
        <v>329</v>
      </c>
      <c r="C279" s="6" t="s">
        <v>15</v>
      </c>
      <c r="D279" s="6" t="s">
        <v>16</v>
      </c>
      <c r="E279" s="6" t="s">
        <v>3</v>
      </c>
      <c r="F279" s="6" t="s">
        <v>17</v>
      </c>
      <c r="G279" s="5" t="s">
        <v>336</v>
      </c>
      <c r="H279" s="6" t="s">
        <v>125</v>
      </c>
      <c r="I279" s="7">
        <v>404</v>
      </c>
      <c r="J279" s="6" t="s">
        <v>335</v>
      </c>
      <c r="K279" s="24">
        <v>4</v>
      </c>
      <c r="L279" s="9">
        <f>0.0404*201.96*117.5809</f>
        <v>959.36419798559996</v>
      </c>
      <c r="M279" s="9">
        <f t="shared" si="18"/>
        <v>287.80925939567999</v>
      </c>
    </row>
    <row r="280" spans="1:15" ht="22.5" x14ac:dyDescent="0.25">
      <c r="A280" s="5" t="s">
        <v>328</v>
      </c>
      <c r="B280" s="6" t="s">
        <v>329</v>
      </c>
      <c r="C280" s="6" t="s">
        <v>15</v>
      </c>
      <c r="D280" s="6" t="s">
        <v>16</v>
      </c>
      <c r="E280" s="6" t="s">
        <v>3</v>
      </c>
      <c r="F280" s="6" t="s">
        <v>17</v>
      </c>
      <c r="G280" s="5" t="s">
        <v>337</v>
      </c>
      <c r="H280" s="6" t="s">
        <v>179</v>
      </c>
      <c r="I280" s="7">
        <v>713</v>
      </c>
      <c r="J280" s="6" t="s">
        <v>322</v>
      </c>
      <c r="K280" s="24">
        <v>5</v>
      </c>
      <c r="L280" s="15">
        <f>0.0713*280.51*117.5809</f>
        <v>2351.6606818667001</v>
      </c>
      <c r="M280" s="15">
        <f t="shared" si="18"/>
        <v>705.49820456000998</v>
      </c>
    </row>
    <row r="281" spans="1:15" ht="22.5" x14ac:dyDescent="0.25">
      <c r="A281" s="5" t="s">
        <v>328</v>
      </c>
      <c r="B281" s="6" t="s">
        <v>329</v>
      </c>
      <c r="C281" s="6" t="s">
        <v>15</v>
      </c>
      <c r="D281" s="6" t="s">
        <v>16</v>
      </c>
      <c r="E281" s="6" t="s">
        <v>3</v>
      </c>
      <c r="F281" s="6" t="s">
        <v>17</v>
      </c>
      <c r="G281" s="5" t="s">
        <v>338</v>
      </c>
      <c r="H281" s="6" t="s">
        <v>179</v>
      </c>
      <c r="I281" s="7">
        <v>6535</v>
      </c>
      <c r="J281" s="6" t="s">
        <v>339</v>
      </c>
      <c r="K281" s="24">
        <v>6</v>
      </c>
      <c r="L281" s="9">
        <f>0.6535*280.51*117.5809</f>
        <v>21554.141032256499</v>
      </c>
      <c r="M281" s="9">
        <f t="shared" si="18"/>
        <v>6466.2423096769498</v>
      </c>
    </row>
    <row r="282" spans="1:15" ht="33.75" x14ac:dyDescent="0.25">
      <c r="A282" s="5" t="s">
        <v>328</v>
      </c>
      <c r="B282" s="6" t="s">
        <v>329</v>
      </c>
      <c r="C282" s="6" t="s">
        <v>15</v>
      </c>
      <c r="D282" s="6" t="s">
        <v>16</v>
      </c>
      <c r="E282" s="6" t="s">
        <v>3</v>
      </c>
      <c r="F282" s="6" t="s">
        <v>17</v>
      </c>
      <c r="G282" s="5" t="s">
        <v>340</v>
      </c>
      <c r="H282" s="6" t="s">
        <v>24</v>
      </c>
      <c r="I282" s="7">
        <v>2521</v>
      </c>
      <c r="J282" s="6" t="s">
        <v>104</v>
      </c>
      <c r="K282" s="24">
        <v>7</v>
      </c>
      <c r="L282" s="15">
        <f>0.2521*227.21*117.5809</f>
        <v>6734.9917404568996</v>
      </c>
      <c r="M282" s="15">
        <f t="shared" si="18"/>
        <v>2020.4975221370698</v>
      </c>
    </row>
    <row r="283" spans="1:15" ht="33.75" x14ac:dyDescent="0.25">
      <c r="A283" s="5" t="s">
        <v>328</v>
      </c>
      <c r="B283" s="6" t="s">
        <v>329</v>
      </c>
      <c r="C283" s="6" t="s">
        <v>15</v>
      </c>
      <c r="D283" s="6" t="s">
        <v>16</v>
      </c>
      <c r="E283" s="6" t="s">
        <v>3</v>
      </c>
      <c r="F283" s="6" t="s">
        <v>17</v>
      </c>
      <c r="G283" s="5" t="s">
        <v>341</v>
      </c>
      <c r="H283" s="6" t="s">
        <v>24</v>
      </c>
      <c r="I283" s="7">
        <v>1470</v>
      </c>
      <c r="J283" s="6" t="s">
        <v>104</v>
      </c>
      <c r="K283" s="24">
        <v>8</v>
      </c>
      <c r="L283" s="9">
        <f>0.147*227.21*117.5809</f>
        <v>3927.1867744830001</v>
      </c>
      <c r="M283" s="9">
        <f t="shared" si="18"/>
        <v>1178.1560323449</v>
      </c>
    </row>
    <row r="284" spans="1:15" ht="33.75" x14ac:dyDescent="0.25">
      <c r="A284" s="5" t="s">
        <v>328</v>
      </c>
      <c r="B284" s="6" t="s">
        <v>329</v>
      </c>
      <c r="C284" s="6" t="s">
        <v>15</v>
      </c>
      <c r="D284" s="6" t="s">
        <v>16</v>
      </c>
      <c r="E284" s="6" t="s">
        <v>3</v>
      </c>
      <c r="F284" s="6" t="s">
        <v>17</v>
      </c>
      <c r="G284" s="5" t="s">
        <v>342</v>
      </c>
      <c r="H284" s="6" t="s">
        <v>59</v>
      </c>
      <c r="I284" s="7">
        <v>23487</v>
      </c>
      <c r="J284" s="6" t="s">
        <v>104</v>
      </c>
      <c r="K284" s="24">
        <v>9</v>
      </c>
      <c r="L284" s="15">
        <f>2.3487*45.44*117.5809</f>
        <v>12548.813086675198</v>
      </c>
      <c r="M284" s="15">
        <f t="shared" si="18"/>
        <v>3764.6439260025591</v>
      </c>
    </row>
    <row r="285" spans="1:15" ht="33.75" x14ac:dyDescent="0.25">
      <c r="A285" s="5" t="s">
        <v>328</v>
      </c>
      <c r="B285" s="6" t="s">
        <v>329</v>
      </c>
      <c r="C285" s="6" t="s">
        <v>15</v>
      </c>
      <c r="D285" s="6" t="s">
        <v>16</v>
      </c>
      <c r="E285" s="6" t="s">
        <v>3</v>
      </c>
      <c r="F285" s="6" t="s">
        <v>17</v>
      </c>
      <c r="G285" s="5" t="s">
        <v>343</v>
      </c>
      <c r="H285" s="6" t="s">
        <v>28</v>
      </c>
      <c r="I285" s="7">
        <v>1621</v>
      </c>
      <c r="J285" s="6" t="s">
        <v>344</v>
      </c>
      <c r="K285" s="24">
        <v>10</v>
      </c>
      <c r="L285" s="9">
        <f>0.1621*255.26*117.5809</f>
        <v>4865.2208565614001</v>
      </c>
      <c r="M285" s="9">
        <f t="shared" si="18"/>
        <v>1459.56625696842</v>
      </c>
    </row>
    <row r="286" spans="1:15" ht="22.5" x14ac:dyDescent="0.25">
      <c r="A286" s="5" t="s">
        <v>328</v>
      </c>
      <c r="B286" s="6" t="s">
        <v>329</v>
      </c>
      <c r="C286" s="6" t="s">
        <v>15</v>
      </c>
      <c r="D286" s="6" t="s">
        <v>16</v>
      </c>
      <c r="E286" s="6" t="s">
        <v>3</v>
      </c>
      <c r="F286" s="6" t="s">
        <v>17</v>
      </c>
      <c r="G286" s="5" t="s">
        <v>345</v>
      </c>
      <c r="H286" s="6" t="s">
        <v>24</v>
      </c>
      <c r="I286" s="7">
        <v>774</v>
      </c>
      <c r="J286" s="6" t="s">
        <v>346</v>
      </c>
      <c r="K286" s="24">
        <v>11</v>
      </c>
      <c r="L286" s="15">
        <f>0.0774*227.21*117.5809</f>
        <v>2067.7840567686003</v>
      </c>
      <c r="M286" s="15">
        <f t="shared" si="18"/>
        <v>620.33521703058011</v>
      </c>
    </row>
    <row r="287" spans="1:15" ht="22.5" x14ac:dyDescent="0.25">
      <c r="A287" s="5" t="s">
        <v>328</v>
      </c>
      <c r="B287" s="6" t="s">
        <v>329</v>
      </c>
      <c r="C287" s="6" t="s">
        <v>15</v>
      </c>
      <c r="D287" s="6" t="s">
        <v>16</v>
      </c>
      <c r="E287" s="6" t="s">
        <v>3</v>
      </c>
      <c r="F287" s="6" t="s">
        <v>17</v>
      </c>
      <c r="G287" s="5" t="s">
        <v>347</v>
      </c>
      <c r="H287" s="6" t="s">
        <v>24</v>
      </c>
      <c r="I287" s="7">
        <v>905</v>
      </c>
      <c r="J287" s="6" t="s">
        <v>346</v>
      </c>
      <c r="K287" s="24">
        <v>12</v>
      </c>
      <c r="L287" s="9">
        <f>0.0905*227.21*117.5809</f>
        <v>2417.7578441545002</v>
      </c>
      <c r="M287" s="9">
        <f t="shared" si="18"/>
        <v>725.32735324635007</v>
      </c>
    </row>
    <row r="288" spans="1:15" ht="22.5" x14ac:dyDescent="0.25">
      <c r="A288" s="5" t="s">
        <v>328</v>
      </c>
      <c r="B288" s="6" t="s">
        <v>329</v>
      </c>
      <c r="C288" s="6" t="s">
        <v>15</v>
      </c>
      <c r="D288" s="6" t="s">
        <v>16</v>
      </c>
      <c r="E288" s="6" t="s">
        <v>3</v>
      </c>
      <c r="F288" s="6" t="s">
        <v>17</v>
      </c>
      <c r="G288" s="5" t="s">
        <v>348</v>
      </c>
      <c r="H288" s="6" t="s">
        <v>179</v>
      </c>
      <c r="I288" s="7">
        <v>535</v>
      </c>
      <c r="J288" s="6" t="s">
        <v>349</v>
      </c>
      <c r="K288" s="60">
        <v>13</v>
      </c>
      <c r="L288" s="16">
        <f>0.0535*280.51*117.5809</f>
        <v>1764.5700768565</v>
      </c>
      <c r="M288" s="16">
        <f t="shared" si="18"/>
        <v>529.37102305694998</v>
      </c>
    </row>
    <row r="289" spans="1:14" ht="22.5" x14ac:dyDescent="0.25">
      <c r="A289" s="5" t="s">
        <v>328</v>
      </c>
      <c r="B289" s="6" t="s">
        <v>329</v>
      </c>
      <c r="C289" s="6" t="s">
        <v>15</v>
      </c>
      <c r="D289" s="6" t="s">
        <v>16</v>
      </c>
      <c r="E289" s="6" t="s">
        <v>3</v>
      </c>
      <c r="F289" s="6" t="s">
        <v>17</v>
      </c>
      <c r="G289" s="5" t="s">
        <v>350</v>
      </c>
      <c r="H289" s="6" t="s">
        <v>179</v>
      </c>
      <c r="I289" s="7">
        <v>554</v>
      </c>
      <c r="J289" s="6" t="s">
        <v>349</v>
      </c>
      <c r="K289" s="61"/>
      <c r="L289" s="12">
        <f>0.0554*280.51*117.5809</f>
        <v>1827.2370515486</v>
      </c>
      <c r="M289" s="12">
        <f t="shared" si="18"/>
        <v>548.17111546458</v>
      </c>
    </row>
    <row r="290" spans="1:14" x14ac:dyDescent="0.25">
      <c r="A290" s="5"/>
      <c r="B290" s="6"/>
      <c r="C290" s="6"/>
      <c r="D290" s="6"/>
      <c r="E290" s="6"/>
      <c r="F290" s="6"/>
      <c r="G290" s="5"/>
      <c r="H290" s="13" t="s">
        <v>25</v>
      </c>
      <c r="I290" s="7">
        <f>SUM(I288:I289)</f>
        <v>1089</v>
      </c>
      <c r="J290" s="6"/>
      <c r="K290" s="62"/>
      <c r="L290" s="25">
        <f>SUM(L288:L289)</f>
        <v>3591.8071284051002</v>
      </c>
      <c r="M290" s="25">
        <f>SUM(M288:M289)</f>
        <v>1077.54213852153</v>
      </c>
    </row>
    <row r="291" spans="1:14" ht="22.5" x14ac:dyDescent="0.25">
      <c r="A291" s="5" t="s">
        <v>328</v>
      </c>
      <c r="B291" s="6" t="s">
        <v>329</v>
      </c>
      <c r="C291" s="6" t="s">
        <v>15</v>
      </c>
      <c r="D291" s="6" t="s">
        <v>16</v>
      </c>
      <c r="E291" s="6" t="s">
        <v>3</v>
      </c>
      <c r="F291" s="6" t="s">
        <v>17</v>
      </c>
      <c r="G291" s="5" t="s">
        <v>351</v>
      </c>
      <c r="H291" s="6" t="s">
        <v>179</v>
      </c>
      <c r="I291" s="7">
        <v>786</v>
      </c>
      <c r="J291" s="6" t="s">
        <v>33</v>
      </c>
      <c r="K291" s="24">
        <v>14</v>
      </c>
      <c r="L291" s="15">
        <f>0.0786*280.51*117.5809</f>
        <v>2592.4337951574003</v>
      </c>
      <c r="M291" s="15">
        <f>L291*0.3</f>
        <v>777.73013854722001</v>
      </c>
    </row>
    <row r="292" spans="1:14" ht="33.75" x14ac:dyDescent="0.25">
      <c r="A292" s="5" t="s">
        <v>328</v>
      </c>
      <c r="B292" s="6" t="s">
        <v>329</v>
      </c>
      <c r="C292" s="6" t="s">
        <v>15</v>
      </c>
      <c r="D292" s="6" t="s">
        <v>16</v>
      </c>
      <c r="E292" s="6" t="s">
        <v>3</v>
      </c>
      <c r="F292" s="6" t="s">
        <v>17</v>
      </c>
      <c r="G292" s="5" t="s">
        <v>352</v>
      </c>
      <c r="H292" s="6" t="s">
        <v>24</v>
      </c>
      <c r="I292" s="7">
        <v>1047</v>
      </c>
      <c r="J292" s="6" t="s">
        <v>353</v>
      </c>
      <c r="K292" s="24">
        <v>15</v>
      </c>
      <c r="L292" s="9">
        <f>0.1047*227.21*117.5809</f>
        <v>2797.1187434583003</v>
      </c>
      <c r="M292" s="9">
        <f>L292*0.3</f>
        <v>839.13562303749006</v>
      </c>
    </row>
    <row r="293" spans="1:14" ht="33.75" x14ac:dyDescent="0.25">
      <c r="A293" s="5" t="s">
        <v>328</v>
      </c>
      <c r="B293" s="6" t="s">
        <v>329</v>
      </c>
      <c r="C293" s="6" t="s">
        <v>15</v>
      </c>
      <c r="D293" s="6" t="s">
        <v>16</v>
      </c>
      <c r="E293" s="6" t="s">
        <v>3</v>
      </c>
      <c r="F293" s="6" t="s">
        <v>17</v>
      </c>
      <c r="G293" s="5" t="s">
        <v>354</v>
      </c>
      <c r="H293" s="6" t="s">
        <v>24</v>
      </c>
      <c r="I293" s="7">
        <v>9670</v>
      </c>
      <c r="J293" s="6" t="s">
        <v>353</v>
      </c>
      <c r="K293" s="24">
        <v>16</v>
      </c>
      <c r="L293" s="15">
        <f>0.967*227.21*117.5809</f>
        <v>25833.942931463</v>
      </c>
      <c r="M293" s="15">
        <f>L293*0.3</f>
        <v>7750.1828794388994</v>
      </c>
    </row>
    <row r="294" spans="1:14" ht="22.5" x14ac:dyDescent="0.25">
      <c r="A294" s="5" t="s">
        <v>328</v>
      </c>
      <c r="B294" s="6" t="s">
        <v>329</v>
      </c>
      <c r="C294" s="6" t="s">
        <v>15</v>
      </c>
      <c r="D294" s="6" t="s">
        <v>16</v>
      </c>
      <c r="E294" s="6" t="s">
        <v>3</v>
      </c>
      <c r="F294" s="6" t="s">
        <v>17</v>
      </c>
      <c r="G294" s="5" t="s">
        <v>355</v>
      </c>
      <c r="H294" s="6" t="s">
        <v>28</v>
      </c>
      <c r="I294" s="7">
        <v>238</v>
      </c>
      <c r="J294" s="6" t="s">
        <v>356</v>
      </c>
      <c r="K294" s="60">
        <v>17</v>
      </c>
      <c r="L294" s="12">
        <f>0.0238*255.26*117.5809</f>
        <v>714.32607270919993</v>
      </c>
      <c r="M294" s="12">
        <f>L294*0.3</f>
        <v>214.29782181275996</v>
      </c>
    </row>
    <row r="295" spans="1:14" ht="22.5" x14ac:dyDescent="0.25">
      <c r="A295" s="5" t="s">
        <v>328</v>
      </c>
      <c r="B295" s="6" t="s">
        <v>329</v>
      </c>
      <c r="C295" s="6" t="s">
        <v>15</v>
      </c>
      <c r="D295" s="6" t="s">
        <v>16</v>
      </c>
      <c r="E295" s="6" t="s">
        <v>3</v>
      </c>
      <c r="F295" s="6" t="s">
        <v>17</v>
      </c>
      <c r="G295" s="5" t="s">
        <v>357</v>
      </c>
      <c r="H295" s="6" t="s">
        <v>28</v>
      </c>
      <c r="I295" s="7">
        <v>532</v>
      </c>
      <c r="J295" s="6" t="s">
        <v>356</v>
      </c>
      <c r="K295" s="61"/>
      <c r="L295" s="16">
        <f>0.0532*255.26*117.5809</f>
        <v>1596.7288684088001</v>
      </c>
      <c r="M295" s="16">
        <f>L295*0.3</f>
        <v>479.01866052264</v>
      </c>
    </row>
    <row r="296" spans="1:14" x14ac:dyDescent="0.25">
      <c r="A296" s="5"/>
      <c r="B296" s="6"/>
      <c r="C296" s="6"/>
      <c r="D296" s="6"/>
      <c r="E296" s="6"/>
      <c r="F296" s="6"/>
      <c r="G296" s="5"/>
      <c r="H296" s="13" t="s">
        <v>25</v>
      </c>
      <c r="I296" s="7">
        <f>SUM(I294:I295)</f>
        <v>770</v>
      </c>
      <c r="J296" s="6"/>
      <c r="K296" s="62"/>
      <c r="L296" s="31">
        <f>SUM(L294:L295)</f>
        <v>2311.054941118</v>
      </c>
      <c r="M296" s="31">
        <f>SUM(M294:M295)</f>
        <v>693.3164823354</v>
      </c>
    </row>
    <row r="297" spans="1:14" ht="22.5" x14ac:dyDescent="0.25">
      <c r="A297" s="5" t="s">
        <v>328</v>
      </c>
      <c r="B297" s="6" t="s">
        <v>329</v>
      </c>
      <c r="C297" s="6" t="s">
        <v>15</v>
      </c>
      <c r="D297" s="6" t="s">
        <v>16</v>
      </c>
      <c r="E297" s="6" t="s">
        <v>3</v>
      </c>
      <c r="F297" s="6" t="s">
        <v>17</v>
      </c>
      <c r="G297" s="5" t="s">
        <v>358</v>
      </c>
      <c r="H297" s="6" t="s">
        <v>179</v>
      </c>
      <c r="I297" s="7">
        <v>1211</v>
      </c>
      <c r="J297" s="6" t="s">
        <v>33</v>
      </c>
      <c r="K297" s="24">
        <v>18</v>
      </c>
      <c r="L297" s="15">
        <f>0.1211*280.51*117.5809</f>
        <v>3994.1950711648997</v>
      </c>
      <c r="M297" s="15">
        <f>L297*0.3</f>
        <v>1198.2585213494699</v>
      </c>
    </row>
    <row r="298" spans="1:14" ht="22.5" x14ac:dyDescent="0.25">
      <c r="A298" s="5" t="s">
        <v>328</v>
      </c>
      <c r="B298" s="6" t="s">
        <v>329</v>
      </c>
      <c r="C298" s="6" t="s">
        <v>15</v>
      </c>
      <c r="D298" s="6" t="s">
        <v>16</v>
      </c>
      <c r="E298" s="6" t="s">
        <v>3</v>
      </c>
      <c r="F298" s="6" t="s">
        <v>17</v>
      </c>
      <c r="G298" s="5" t="s">
        <v>359</v>
      </c>
      <c r="H298" s="6" t="s">
        <v>179</v>
      </c>
      <c r="I298" s="7">
        <v>309</v>
      </c>
      <c r="J298" s="6" t="s">
        <v>360</v>
      </c>
      <c r="K298" s="24">
        <v>19</v>
      </c>
      <c r="L298" s="9">
        <f>0.0309*280.51*117.5809</f>
        <v>1019.1629042031</v>
      </c>
      <c r="M298" s="9">
        <f>L298*0.3</f>
        <v>305.74887126093</v>
      </c>
    </row>
    <row r="299" spans="1:14" ht="22.5" x14ac:dyDescent="0.25">
      <c r="A299" s="5" t="s">
        <v>328</v>
      </c>
      <c r="B299" s="6">
        <v>4129</v>
      </c>
      <c r="C299" s="6" t="s">
        <v>15</v>
      </c>
      <c r="D299" s="6" t="s">
        <v>16</v>
      </c>
      <c r="E299" s="6" t="s">
        <v>3</v>
      </c>
      <c r="F299" s="6" t="s">
        <v>17</v>
      </c>
      <c r="G299" s="5">
        <v>2256</v>
      </c>
      <c r="H299" s="6" t="s">
        <v>361</v>
      </c>
      <c r="I299" s="7">
        <v>23645</v>
      </c>
      <c r="J299" s="6" t="s">
        <v>362</v>
      </c>
      <c r="K299" s="60">
        <v>20</v>
      </c>
      <c r="L299" s="11">
        <f>2.3645*227.21*117.5809</f>
        <v>63168.932845340503</v>
      </c>
      <c r="M299" s="32">
        <f>L299*0.3</f>
        <v>18950.679853602149</v>
      </c>
    </row>
    <row r="300" spans="1:14" ht="22.5" x14ac:dyDescent="0.25">
      <c r="A300" s="5" t="s">
        <v>328</v>
      </c>
      <c r="B300" s="6">
        <v>4129</v>
      </c>
      <c r="C300" s="6" t="s">
        <v>15</v>
      </c>
      <c r="D300" s="6" t="s">
        <v>16</v>
      </c>
      <c r="E300" s="6" t="s">
        <v>3</v>
      </c>
      <c r="F300" s="6" t="s">
        <v>17</v>
      </c>
      <c r="G300" s="5">
        <v>2261</v>
      </c>
      <c r="H300" s="6" t="s">
        <v>213</v>
      </c>
      <c r="I300" s="7">
        <v>12395</v>
      </c>
      <c r="J300" s="6" t="s">
        <v>362</v>
      </c>
      <c r="K300" s="61"/>
      <c r="L300" s="33">
        <f>1.2395*84.15*117.5809</f>
        <v>12264.149375032501</v>
      </c>
      <c r="M300" s="34">
        <f>L300*0.3</f>
        <v>3679.2448125097503</v>
      </c>
    </row>
    <row r="301" spans="1:14" x14ac:dyDescent="0.25">
      <c r="A301" s="5"/>
      <c r="B301" s="6"/>
      <c r="C301" s="6"/>
      <c r="D301" s="6"/>
      <c r="E301" s="6"/>
      <c r="F301" s="6"/>
      <c r="G301" s="5"/>
      <c r="H301" s="13" t="s">
        <v>25</v>
      </c>
      <c r="I301" s="7">
        <f>SUM(I299:I300)</f>
        <v>36040</v>
      </c>
      <c r="J301" s="6"/>
      <c r="K301" s="62"/>
      <c r="L301" s="35">
        <f>SUM(L299:L300)</f>
        <v>75433.082220373006</v>
      </c>
      <c r="M301" s="36">
        <f>SUM(M299:M300)</f>
        <v>22629.9246661119</v>
      </c>
    </row>
    <row r="302" spans="1:14" ht="22.5" x14ac:dyDescent="0.25">
      <c r="A302" s="5" t="s">
        <v>328</v>
      </c>
      <c r="B302" s="6">
        <v>4129</v>
      </c>
      <c r="C302" s="6" t="s">
        <v>15</v>
      </c>
      <c r="D302" s="6" t="s">
        <v>16</v>
      </c>
      <c r="E302" s="6" t="s">
        <v>3</v>
      </c>
      <c r="F302" s="6" t="s">
        <v>17</v>
      </c>
      <c r="G302" s="10" t="s">
        <v>363</v>
      </c>
      <c r="H302" s="6" t="s">
        <v>213</v>
      </c>
      <c r="I302" s="7">
        <v>53977</v>
      </c>
      <c r="J302" s="6" t="s">
        <v>364</v>
      </c>
      <c r="K302" s="24">
        <v>21</v>
      </c>
      <c r="L302" s="9">
        <f>5.3977*84.15*117.5809</f>
        <v>53407.179573709509</v>
      </c>
      <c r="M302" s="9">
        <f t="shared" ref="M302:M310" si="19">L302*0.3</f>
        <v>16022.153872112853</v>
      </c>
    </row>
    <row r="303" spans="1:14" ht="22.5" x14ac:dyDescent="0.25">
      <c r="A303" s="5" t="s">
        <v>328</v>
      </c>
      <c r="B303" s="6" t="s">
        <v>329</v>
      </c>
      <c r="C303" s="6" t="s">
        <v>15</v>
      </c>
      <c r="D303" s="6" t="s">
        <v>16</v>
      </c>
      <c r="E303" s="6" t="s">
        <v>3</v>
      </c>
      <c r="F303" s="6" t="s">
        <v>17</v>
      </c>
      <c r="G303" s="5" t="s">
        <v>365</v>
      </c>
      <c r="H303" s="6" t="s">
        <v>24</v>
      </c>
      <c r="I303" s="7">
        <v>1548</v>
      </c>
      <c r="J303" s="6" t="s">
        <v>366</v>
      </c>
      <c r="K303" s="24">
        <v>22</v>
      </c>
      <c r="L303" s="15">
        <f>0.1548*227.21*117.5809</f>
        <v>4135.5681135372006</v>
      </c>
      <c r="M303" s="15">
        <f t="shared" si="19"/>
        <v>1240.6704340611602</v>
      </c>
    </row>
    <row r="304" spans="1:14" ht="33.75" x14ac:dyDescent="0.25">
      <c r="A304" s="5" t="s">
        <v>328</v>
      </c>
      <c r="B304" s="6" t="s">
        <v>329</v>
      </c>
      <c r="C304" s="6" t="s">
        <v>15</v>
      </c>
      <c r="D304" s="6" t="s">
        <v>16</v>
      </c>
      <c r="E304" s="6" t="s">
        <v>3</v>
      </c>
      <c r="F304" s="6" t="s">
        <v>17</v>
      </c>
      <c r="G304" s="5" t="s">
        <v>367</v>
      </c>
      <c r="H304" s="6" t="s">
        <v>179</v>
      </c>
      <c r="I304" s="7">
        <v>1716</v>
      </c>
      <c r="J304" s="6" t="s">
        <v>368</v>
      </c>
      <c r="K304" s="24">
        <v>23</v>
      </c>
      <c r="L304" s="9">
        <f>0.1716*280.51*117.5809</f>
        <v>5659.8172932444004</v>
      </c>
      <c r="M304" s="9">
        <f t="shared" si="19"/>
        <v>1697.9451879733201</v>
      </c>
      <c r="N304" s="17"/>
    </row>
    <row r="305" spans="1:13" ht="56.25" x14ac:dyDescent="0.25">
      <c r="A305" s="5" t="s">
        <v>369</v>
      </c>
      <c r="B305" s="6" t="s">
        <v>370</v>
      </c>
      <c r="C305" s="6" t="s">
        <v>15</v>
      </c>
      <c r="D305" s="6" t="s">
        <v>16</v>
      </c>
      <c r="E305" s="6" t="s">
        <v>3</v>
      </c>
      <c r="F305" s="6" t="s">
        <v>17</v>
      </c>
      <c r="G305" s="5" t="s">
        <v>371</v>
      </c>
      <c r="H305" s="6" t="s">
        <v>235</v>
      </c>
      <c r="I305" s="7">
        <v>2039</v>
      </c>
      <c r="J305" s="6" t="s">
        <v>372</v>
      </c>
      <c r="K305" s="24">
        <v>1</v>
      </c>
      <c r="L305" s="15">
        <f>0.2039*11.36*117.5809</f>
        <v>272.35310899359996</v>
      </c>
      <c r="M305" s="19">
        <f t="shared" si="19"/>
        <v>81.705932698079991</v>
      </c>
    </row>
    <row r="306" spans="1:13" ht="22.5" x14ac:dyDescent="0.25">
      <c r="A306" s="5" t="s">
        <v>369</v>
      </c>
      <c r="B306" s="6" t="s">
        <v>370</v>
      </c>
      <c r="C306" s="6" t="s">
        <v>15</v>
      </c>
      <c r="D306" s="6" t="s">
        <v>16</v>
      </c>
      <c r="E306" s="6" t="s">
        <v>3</v>
      </c>
      <c r="F306" s="6" t="s">
        <v>17</v>
      </c>
      <c r="G306" s="5" t="s">
        <v>373</v>
      </c>
      <c r="H306" s="6" t="s">
        <v>59</v>
      </c>
      <c r="I306" s="7">
        <v>1922</v>
      </c>
      <c r="J306" s="6" t="s">
        <v>374</v>
      </c>
      <c r="K306" s="24">
        <v>2</v>
      </c>
      <c r="L306" s="9">
        <f>0.1922*45.44*117.5809</f>
        <v>1026.9007856512001</v>
      </c>
      <c r="M306" s="22">
        <f t="shared" si="19"/>
        <v>308.07023569536</v>
      </c>
    </row>
    <row r="307" spans="1:13" ht="22.5" x14ac:dyDescent="0.25">
      <c r="A307" s="5" t="s">
        <v>369</v>
      </c>
      <c r="B307" s="6" t="s">
        <v>370</v>
      </c>
      <c r="C307" s="6" t="s">
        <v>15</v>
      </c>
      <c r="D307" s="6" t="s">
        <v>16</v>
      </c>
      <c r="E307" s="6" t="s">
        <v>3</v>
      </c>
      <c r="F307" s="6" t="s">
        <v>17</v>
      </c>
      <c r="G307" s="5" t="s">
        <v>375</v>
      </c>
      <c r="H307" s="6" t="s">
        <v>59</v>
      </c>
      <c r="I307" s="7">
        <v>1364</v>
      </c>
      <c r="J307" s="6" t="s">
        <v>372</v>
      </c>
      <c r="K307" s="24">
        <v>3</v>
      </c>
      <c r="L307" s="15">
        <f>0.1364*45.44*117.5809</f>
        <v>728.76829949439991</v>
      </c>
      <c r="M307" s="19">
        <f t="shared" si="19"/>
        <v>218.63048984831997</v>
      </c>
    </row>
    <row r="308" spans="1:13" ht="22.5" x14ac:dyDescent="0.25">
      <c r="A308" s="5" t="s">
        <v>369</v>
      </c>
      <c r="B308" s="6" t="s">
        <v>370</v>
      </c>
      <c r="C308" s="6" t="s">
        <v>15</v>
      </c>
      <c r="D308" s="6" t="s">
        <v>16</v>
      </c>
      <c r="E308" s="6" t="s">
        <v>3</v>
      </c>
      <c r="F308" s="6" t="s">
        <v>17</v>
      </c>
      <c r="G308" s="5" t="s">
        <v>376</v>
      </c>
      <c r="H308" s="6" t="s">
        <v>19</v>
      </c>
      <c r="I308" s="7">
        <v>962</v>
      </c>
      <c r="J308" s="6" t="s">
        <v>372</v>
      </c>
      <c r="K308" s="60">
        <v>4</v>
      </c>
      <c r="L308" s="12">
        <f>0.0962*68.16*117.5809</f>
        <v>770.97702065279987</v>
      </c>
      <c r="M308" s="20">
        <f t="shared" si="19"/>
        <v>231.29310619583995</v>
      </c>
    </row>
    <row r="309" spans="1:13" ht="22.5" x14ac:dyDescent="0.25">
      <c r="A309" s="5" t="s">
        <v>369</v>
      </c>
      <c r="B309" s="6" t="s">
        <v>370</v>
      </c>
      <c r="C309" s="6" t="s">
        <v>15</v>
      </c>
      <c r="D309" s="6" t="s">
        <v>16</v>
      </c>
      <c r="E309" s="6" t="s">
        <v>3</v>
      </c>
      <c r="F309" s="6" t="s">
        <v>17</v>
      </c>
      <c r="G309" s="5" t="s">
        <v>377</v>
      </c>
      <c r="H309" s="6" t="s">
        <v>24</v>
      </c>
      <c r="I309" s="7">
        <v>1275</v>
      </c>
      <c r="J309" s="6" t="s">
        <v>378</v>
      </c>
      <c r="K309" s="61"/>
      <c r="L309" s="16">
        <f>0.1275*227.21*117.5809</f>
        <v>3406.2334268475006</v>
      </c>
      <c r="M309" s="21">
        <f t="shared" si="19"/>
        <v>1021.8700280542502</v>
      </c>
    </row>
    <row r="310" spans="1:13" ht="22.5" x14ac:dyDescent="0.25">
      <c r="A310" s="5" t="s">
        <v>369</v>
      </c>
      <c r="B310" s="6" t="s">
        <v>370</v>
      </c>
      <c r="C310" s="6" t="s">
        <v>15</v>
      </c>
      <c r="D310" s="6" t="s">
        <v>16</v>
      </c>
      <c r="E310" s="6" t="s">
        <v>3</v>
      </c>
      <c r="F310" s="6" t="s">
        <v>17</v>
      </c>
      <c r="G310" s="5" t="s">
        <v>379</v>
      </c>
      <c r="H310" s="6" t="s">
        <v>54</v>
      </c>
      <c r="I310" s="7">
        <v>4903</v>
      </c>
      <c r="J310" s="6" t="s">
        <v>378</v>
      </c>
      <c r="K310" s="61"/>
      <c r="L310" s="12">
        <f>0.4903*40.39*117.5809</f>
        <v>2328.4800777553</v>
      </c>
      <c r="M310" s="12">
        <f t="shared" si="19"/>
        <v>698.54402332659004</v>
      </c>
    </row>
    <row r="311" spans="1:13" x14ac:dyDescent="0.25">
      <c r="A311" s="5"/>
      <c r="B311" s="6"/>
      <c r="C311" s="6"/>
      <c r="D311" s="6"/>
      <c r="E311" s="6"/>
      <c r="F311" s="6"/>
      <c r="G311" s="5"/>
      <c r="H311" s="13" t="s">
        <v>25</v>
      </c>
      <c r="I311" s="7">
        <f>SUM(I308:I310)</f>
        <v>7140</v>
      </c>
      <c r="J311" s="6"/>
      <c r="K311" s="62"/>
      <c r="L311" s="25">
        <f>SUM(L308:L310)</f>
        <v>6505.6905252556007</v>
      </c>
      <c r="M311" s="37">
        <f>SUM(M308:M310)</f>
        <v>1951.7071575766799</v>
      </c>
    </row>
    <row r="312" spans="1:13" ht="22.5" x14ac:dyDescent="0.25">
      <c r="A312" s="5" t="s">
        <v>369</v>
      </c>
      <c r="B312" s="6" t="s">
        <v>370</v>
      </c>
      <c r="C312" s="6" t="s">
        <v>15</v>
      </c>
      <c r="D312" s="6" t="s">
        <v>16</v>
      </c>
      <c r="E312" s="6" t="s">
        <v>3</v>
      </c>
      <c r="F312" s="6" t="s">
        <v>17</v>
      </c>
      <c r="G312" s="5" t="s">
        <v>380</v>
      </c>
      <c r="H312" s="6" t="s">
        <v>24</v>
      </c>
      <c r="I312" s="7">
        <v>3087</v>
      </c>
      <c r="J312" s="6" t="s">
        <v>378</v>
      </c>
      <c r="K312" s="24">
        <v>5</v>
      </c>
      <c r="L312" s="9">
        <f>0.3087*227.21*117.5809</f>
        <v>8247.0922264142991</v>
      </c>
      <c r="M312" s="22">
        <f>L312*0.3</f>
        <v>2474.1276679242897</v>
      </c>
    </row>
    <row r="313" spans="1:13" ht="22.5" x14ac:dyDescent="0.25">
      <c r="A313" s="5" t="s">
        <v>369</v>
      </c>
      <c r="B313" s="6" t="s">
        <v>370</v>
      </c>
      <c r="C313" s="6" t="s">
        <v>15</v>
      </c>
      <c r="D313" s="6" t="s">
        <v>16</v>
      </c>
      <c r="E313" s="6" t="s">
        <v>3</v>
      </c>
      <c r="F313" s="6" t="s">
        <v>17</v>
      </c>
      <c r="G313" s="5" t="s">
        <v>381</v>
      </c>
      <c r="H313" s="6" t="s">
        <v>19</v>
      </c>
      <c r="I313" s="7">
        <v>1394</v>
      </c>
      <c r="J313" s="6" t="s">
        <v>378</v>
      </c>
      <c r="K313" s="24">
        <v>6</v>
      </c>
      <c r="L313" s="15">
        <f>0.1394*68.16*117.5809</f>
        <v>1117.1953916735999</v>
      </c>
      <c r="M313" s="19">
        <f>L313*0.3</f>
        <v>335.15861750207995</v>
      </c>
    </row>
    <row r="314" spans="1:13" ht="22.5" x14ac:dyDescent="0.25">
      <c r="A314" s="5" t="s">
        <v>369</v>
      </c>
      <c r="B314" s="6" t="s">
        <v>370</v>
      </c>
      <c r="C314" s="6" t="s">
        <v>15</v>
      </c>
      <c r="D314" s="6" t="s">
        <v>16</v>
      </c>
      <c r="E314" s="6" t="s">
        <v>3</v>
      </c>
      <c r="F314" s="6" t="s">
        <v>17</v>
      </c>
      <c r="G314" s="5" t="s">
        <v>382</v>
      </c>
      <c r="H314" s="6" t="s">
        <v>19</v>
      </c>
      <c r="I314" s="7">
        <v>268</v>
      </c>
      <c r="J314" s="6" t="s">
        <v>378</v>
      </c>
      <c r="K314" s="60">
        <v>7</v>
      </c>
      <c r="L314" s="12">
        <f>0.0268*68.16*117.5809</f>
        <v>214.78361905919999</v>
      </c>
      <c r="M314" s="20">
        <f>L314*0.3</f>
        <v>64.435085717759989</v>
      </c>
    </row>
    <row r="315" spans="1:13" ht="22.5" x14ac:dyDescent="0.25">
      <c r="A315" s="5" t="s">
        <v>369</v>
      </c>
      <c r="B315" s="6" t="s">
        <v>370</v>
      </c>
      <c r="C315" s="6" t="s">
        <v>15</v>
      </c>
      <c r="D315" s="6" t="s">
        <v>16</v>
      </c>
      <c r="E315" s="6" t="s">
        <v>3</v>
      </c>
      <c r="F315" s="6" t="s">
        <v>17</v>
      </c>
      <c r="G315" s="5" t="s">
        <v>383</v>
      </c>
      <c r="H315" s="6" t="s">
        <v>19</v>
      </c>
      <c r="I315" s="7">
        <v>609</v>
      </c>
      <c r="J315" s="6" t="s">
        <v>378</v>
      </c>
      <c r="K315" s="61"/>
      <c r="L315" s="16">
        <f>0.0609*68.16*117.5809</f>
        <v>488.0717313696</v>
      </c>
      <c r="M315" s="21">
        <f>L315*0.3</f>
        <v>146.42151941087999</v>
      </c>
    </row>
    <row r="316" spans="1:13" x14ac:dyDescent="0.25">
      <c r="A316" s="5"/>
      <c r="B316" s="6"/>
      <c r="C316" s="6"/>
      <c r="D316" s="6"/>
      <c r="E316" s="6"/>
      <c r="F316" s="6"/>
      <c r="G316" s="5"/>
      <c r="H316" s="13" t="s">
        <v>25</v>
      </c>
      <c r="I316" s="7">
        <f>SUM(I314:I315)</f>
        <v>877</v>
      </c>
      <c r="J316" s="6"/>
      <c r="K316" s="62"/>
      <c r="L316" s="31">
        <f>SUM(L314:L315)</f>
        <v>702.85535042879997</v>
      </c>
      <c r="M316" s="38">
        <f>SUM(M314:M315)</f>
        <v>210.85660512863998</v>
      </c>
    </row>
    <row r="317" spans="1:13" ht="33.75" x14ac:dyDescent="0.25">
      <c r="A317" s="5" t="s">
        <v>369</v>
      </c>
      <c r="B317" s="6" t="s">
        <v>370</v>
      </c>
      <c r="C317" s="6" t="s">
        <v>15</v>
      </c>
      <c r="D317" s="6" t="s">
        <v>16</v>
      </c>
      <c r="E317" s="6" t="s">
        <v>3</v>
      </c>
      <c r="F317" s="6" t="s">
        <v>17</v>
      </c>
      <c r="G317" s="5" t="s">
        <v>384</v>
      </c>
      <c r="H317" s="6" t="s">
        <v>385</v>
      </c>
      <c r="I317" s="7">
        <v>510</v>
      </c>
      <c r="J317" s="6" t="s">
        <v>378</v>
      </c>
      <c r="K317" s="24">
        <v>8</v>
      </c>
      <c r="L317" s="15">
        <f>0.051*11.36*117.5809</f>
        <v>68.121670223999999</v>
      </c>
      <c r="M317" s="19">
        <f t="shared" ref="M317:M329" si="20">L317*0.3</f>
        <v>20.436501067199998</v>
      </c>
    </row>
    <row r="318" spans="1:13" ht="22.5" x14ac:dyDescent="0.25">
      <c r="A318" s="5" t="s">
        <v>369</v>
      </c>
      <c r="B318" s="6" t="s">
        <v>370</v>
      </c>
      <c r="C318" s="6" t="s">
        <v>15</v>
      </c>
      <c r="D318" s="6" t="s">
        <v>16</v>
      </c>
      <c r="E318" s="6" t="s">
        <v>3</v>
      </c>
      <c r="F318" s="6" t="s">
        <v>17</v>
      </c>
      <c r="G318" s="5" t="s">
        <v>386</v>
      </c>
      <c r="H318" s="6" t="s">
        <v>99</v>
      </c>
      <c r="I318" s="7">
        <v>6709</v>
      </c>
      <c r="J318" s="6" t="s">
        <v>372</v>
      </c>
      <c r="K318" s="24">
        <v>9</v>
      </c>
      <c r="L318" s="9">
        <f>0.6709*76.58*117.5809</f>
        <v>6041.0152765298008</v>
      </c>
      <c r="M318" s="22">
        <f t="shared" si="20"/>
        <v>1812.3045829589403</v>
      </c>
    </row>
    <row r="319" spans="1:13" ht="22.5" x14ac:dyDescent="0.25">
      <c r="A319" s="5" t="s">
        <v>369</v>
      </c>
      <c r="B319" s="6" t="s">
        <v>370</v>
      </c>
      <c r="C319" s="6" t="s">
        <v>15</v>
      </c>
      <c r="D319" s="6" t="s">
        <v>16</v>
      </c>
      <c r="E319" s="6" t="s">
        <v>3</v>
      </c>
      <c r="F319" s="6" t="s">
        <v>17</v>
      </c>
      <c r="G319" s="5" t="s">
        <v>387</v>
      </c>
      <c r="H319" s="6" t="s">
        <v>54</v>
      </c>
      <c r="I319" s="7">
        <v>30329</v>
      </c>
      <c r="J319" s="6" t="s">
        <v>372</v>
      </c>
      <c r="K319" s="24">
        <v>10</v>
      </c>
      <c r="L319" s="15">
        <f>3.0329*40.39*117.5809</f>
        <v>14403.522797927901</v>
      </c>
      <c r="M319" s="19">
        <f t="shared" si="20"/>
        <v>4321.0568393783697</v>
      </c>
    </row>
    <row r="320" spans="1:13" ht="22.5" x14ac:dyDescent="0.25">
      <c r="A320" s="5" t="s">
        <v>369</v>
      </c>
      <c r="B320" s="6" t="s">
        <v>370</v>
      </c>
      <c r="C320" s="6" t="s">
        <v>15</v>
      </c>
      <c r="D320" s="6" t="s">
        <v>16</v>
      </c>
      <c r="E320" s="6" t="s">
        <v>3</v>
      </c>
      <c r="F320" s="6" t="s">
        <v>17</v>
      </c>
      <c r="G320" s="5" t="s">
        <v>388</v>
      </c>
      <c r="H320" s="6" t="s">
        <v>179</v>
      </c>
      <c r="I320" s="7">
        <v>1338</v>
      </c>
      <c r="J320" s="6" t="s">
        <v>372</v>
      </c>
      <c r="K320" s="24">
        <v>11</v>
      </c>
      <c r="L320" s="9">
        <f>0.1338*280.51*117.5809</f>
        <v>4413.0743230542002</v>
      </c>
      <c r="M320" s="22">
        <f t="shared" si="20"/>
        <v>1323.9222969162599</v>
      </c>
    </row>
    <row r="321" spans="1:16" ht="22.5" x14ac:dyDescent="0.25">
      <c r="A321" s="5" t="s">
        <v>369</v>
      </c>
      <c r="B321" s="6">
        <v>3447</v>
      </c>
      <c r="C321" s="6">
        <v>1</v>
      </c>
      <c r="D321" s="6" t="s">
        <v>16</v>
      </c>
      <c r="E321" s="6" t="s">
        <v>3</v>
      </c>
      <c r="F321" s="6" t="s">
        <v>17</v>
      </c>
      <c r="G321" s="5">
        <v>2038</v>
      </c>
      <c r="H321" s="6" t="s">
        <v>99</v>
      </c>
      <c r="I321" s="7">
        <v>10254</v>
      </c>
      <c r="J321" s="6" t="s">
        <v>389</v>
      </c>
      <c r="K321" s="24">
        <v>12</v>
      </c>
      <c r="L321" s="9">
        <f>1.0254*76.58*117.5809</f>
        <v>9233.0556931787996</v>
      </c>
      <c r="M321" s="9">
        <f t="shared" si="20"/>
        <v>2769.9167079536396</v>
      </c>
    </row>
    <row r="322" spans="1:16" ht="22.5" x14ac:dyDescent="0.25">
      <c r="A322" s="5" t="s">
        <v>369</v>
      </c>
      <c r="B322" s="6" t="s">
        <v>370</v>
      </c>
      <c r="C322" s="6" t="s">
        <v>15</v>
      </c>
      <c r="D322" s="6" t="s">
        <v>16</v>
      </c>
      <c r="E322" s="6" t="s">
        <v>3</v>
      </c>
      <c r="F322" s="6" t="s">
        <v>17</v>
      </c>
      <c r="G322" s="5" t="s">
        <v>390</v>
      </c>
      <c r="H322" s="6" t="s">
        <v>99</v>
      </c>
      <c r="I322" s="7">
        <v>6789</v>
      </c>
      <c r="J322" s="6" t="s">
        <v>372</v>
      </c>
      <c r="K322" s="24">
        <v>13</v>
      </c>
      <c r="L322" s="15">
        <f>0.6789*76.58*117.5809</f>
        <v>6113.0500391057994</v>
      </c>
      <c r="M322" s="15">
        <f t="shared" si="20"/>
        <v>1833.9150117317397</v>
      </c>
    </row>
    <row r="323" spans="1:16" ht="33.75" x14ac:dyDescent="0.25">
      <c r="A323" s="5" t="s">
        <v>369</v>
      </c>
      <c r="B323" s="6" t="s">
        <v>370</v>
      </c>
      <c r="C323" s="6" t="s">
        <v>15</v>
      </c>
      <c r="D323" s="6" t="s">
        <v>16</v>
      </c>
      <c r="E323" s="6" t="s">
        <v>3</v>
      </c>
      <c r="F323" s="6" t="s">
        <v>17</v>
      </c>
      <c r="G323" s="5" t="s">
        <v>391</v>
      </c>
      <c r="H323" s="6" t="s">
        <v>59</v>
      </c>
      <c r="I323" s="7">
        <v>28134</v>
      </c>
      <c r="J323" s="6" t="s">
        <v>392</v>
      </c>
      <c r="K323" s="24">
        <v>14</v>
      </c>
      <c r="L323" s="9">
        <f>2.8134*45.44*117.5809</f>
        <v>15031.647608486401</v>
      </c>
      <c r="M323" s="22">
        <f t="shared" si="20"/>
        <v>4509.4942825459202</v>
      </c>
    </row>
    <row r="324" spans="1:16" ht="33.75" x14ac:dyDescent="0.25">
      <c r="A324" s="5" t="s">
        <v>369</v>
      </c>
      <c r="B324" s="6" t="s">
        <v>370</v>
      </c>
      <c r="C324" s="6" t="s">
        <v>15</v>
      </c>
      <c r="D324" s="6" t="s">
        <v>16</v>
      </c>
      <c r="E324" s="6" t="s">
        <v>3</v>
      </c>
      <c r="F324" s="6" t="s">
        <v>17</v>
      </c>
      <c r="G324" s="5" t="s">
        <v>393</v>
      </c>
      <c r="H324" s="6" t="s">
        <v>59</v>
      </c>
      <c r="I324" s="7">
        <v>7576</v>
      </c>
      <c r="J324" s="6" t="s">
        <v>392</v>
      </c>
      <c r="K324" s="24">
        <v>15</v>
      </c>
      <c r="L324" s="15">
        <f>0.7576*45.44*117.5809</f>
        <v>4047.7629303296003</v>
      </c>
      <c r="M324" s="19">
        <f t="shared" si="20"/>
        <v>1214.32887909888</v>
      </c>
    </row>
    <row r="325" spans="1:16" ht="33.75" x14ac:dyDescent="0.25">
      <c r="A325" s="5" t="s">
        <v>369</v>
      </c>
      <c r="B325" s="6" t="s">
        <v>370</v>
      </c>
      <c r="C325" s="6" t="s">
        <v>15</v>
      </c>
      <c r="D325" s="6" t="s">
        <v>16</v>
      </c>
      <c r="E325" s="6" t="s">
        <v>3</v>
      </c>
      <c r="F325" s="6" t="s">
        <v>17</v>
      </c>
      <c r="G325" s="5" t="s">
        <v>394</v>
      </c>
      <c r="H325" s="6" t="s">
        <v>59</v>
      </c>
      <c r="I325" s="7">
        <v>8606</v>
      </c>
      <c r="J325" s="6" t="s">
        <v>392</v>
      </c>
      <c r="K325" s="24">
        <v>16</v>
      </c>
      <c r="L325" s="9">
        <f>0.8606*45.44*117.5809</f>
        <v>4598.0791682175995</v>
      </c>
      <c r="M325" s="9">
        <f t="shared" si="20"/>
        <v>1379.4237504652799</v>
      </c>
    </row>
    <row r="326" spans="1:16" ht="33.75" x14ac:dyDescent="0.25">
      <c r="A326" s="5" t="s">
        <v>369</v>
      </c>
      <c r="B326" s="6" t="s">
        <v>370</v>
      </c>
      <c r="C326" s="6" t="s">
        <v>15</v>
      </c>
      <c r="D326" s="6" t="s">
        <v>16</v>
      </c>
      <c r="E326" s="6" t="s">
        <v>3</v>
      </c>
      <c r="F326" s="6" t="s">
        <v>17</v>
      </c>
      <c r="G326" s="5" t="s">
        <v>395</v>
      </c>
      <c r="H326" s="6" t="s">
        <v>168</v>
      </c>
      <c r="I326" s="7">
        <v>1463</v>
      </c>
      <c r="J326" s="6" t="s">
        <v>392</v>
      </c>
      <c r="K326" s="24">
        <v>17</v>
      </c>
      <c r="L326" s="15">
        <f>0.1463*11.36*117.5809</f>
        <v>195.41569321120002</v>
      </c>
      <c r="M326" s="19">
        <f t="shared" si="20"/>
        <v>58.624707963360002</v>
      </c>
    </row>
    <row r="327" spans="1:16" ht="22.5" x14ac:dyDescent="0.25">
      <c r="A327" s="5" t="s">
        <v>369</v>
      </c>
      <c r="B327" s="6" t="s">
        <v>370</v>
      </c>
      <c r="C327" s="6" t="s">
        <v>15</v>
      </c>
      <c r="D327" s="6" t="s">
        <v>16</v>
      </c>
      <c r="E327" s="6" t="s">
        <v>3</v>
      </c>
      <c r="F327" s="6" t="s">
        <v>17</v>
      </c>
      <c r="G327" s="5" t="s">
        <v>396</v>
      </c>
      <c r="H327" s="6" t="s">
        <v>54</v>
      </c>
      <c r="I327" s="7">
        <v>2511</v>
      </c>
      <c r="J327" s="6" t="s">
        <v>397</v>
      </c>
      <c r="K327" s="24">
        <v>18</v>
      </c>
      <c r="L327" s="9">
        <f>0.2511*40.39*117.5809</f>
        <v>1192.4971395560999</v>
      </c>
      <c r="M327" s="22">
        <f t="shared" si="20"/>
        <v>357.74914186682997</v>
      </c>
      <c r="N327" s="17"/>
      <c r="O327" s="17"/>
      <c r="P327" s="17"/>
    </row>
    <row r="328" spans="1:16" ht="31.5" x14ac:dyDescent="0.25">
      <c r="A328" s="5" t="s">
        <v>398</v>
      </c>
      <c r="B328" s="6" t="s">
        <v>399</v>
      </c>
      <c r="C328" s="6" t="s">
        <v>15</v>
      </c>
      <c r="D328" s="6" t="s">
        <v>16</v>
      </c>
      <c r="E328" s="6" t="s">
        <v>3</v>
      </c>
      <c r="F328" s="6" t="s">
        <v>17</v>
      </c>
      <c r="G328" s="5" t="s">
        <v>400</v>
      </c>
      <c r="H328" s="6" t="s">
        <v>99</v>
      </c>
      <c r="I328" s="7">
        <v>1732</v>
      </c>
      <c r="J328" s="6" t="s">
        <v>372</v>
      </c>
      <c r="K328" s="60">
        <v>1</v>
      </c>
      <c r="L328" s="16">
        <f>0.1732*76.58*117.5809</f>
        <v>1559.5526097703998</v>
      </c>
      <c r="M328" s="21">
        <f t="shared" si="20"/>
        <v>467.86578293111995</v>
      </c>
    </row>
    <row r="329" spans="1:16" ht="31.5" x14ac:dyDescent="0.25">
      <c r="A329" s="5" t="s">
        <v>398</v>
      </c>
      <c r="B329" s="6" t="s">
        <v>399</v>
      </c>
      <c r="C329" s="6" t="s">
        <v>15</v>
      </c>
      <c r="D329" s="6" t="s">
        <v>16</v>
      </c>
      <c r="E329" s="6" t="s">
        <v>3</v>
      </c>
      <c r="F329" s="6" t="s">
        <v>17</v>
      </c>
      <c r="G329" s="5" t="s">
        <v>401</v>
      </c>
      <c r="H329" s="6" t="s">
        <v>402</v>
      </c>
      <c r="I329" s="7">
        <v>1178</v>
      </c>
      <c r="J329" s="6" t="s">
        <v>403</v>
      </c>
      <c r="K329" s="61"/>
      <c r="L329" s="12">
        <f>0.1178*56.1*117.5809</f>
        <v>777.04278412199994</v>
      </c>
      <c r="M329" s="20">
        <f t="shared" si="20"/>
        <v>233.11283523659998</v>
      </c>
    </row>
    <row r="330" spans="1:16" x14ac:dyDescent="0.25">
      <c r="A330" s="5"/>
      <c r="B330" s="6"/>
      <c r="C330" s="6"/>
      <c r="D330" s="6"/>
      <c r="E330" s="6"/>
      <c r="F330" s="6"/>
      <c r="G330" s="5"/>
      <c r="H330" s="13" t="s">
        <v>25</v>
      </c>
      <c r="I330" s="7">
        <f>SUM(I328:I329)</f>
        <v>2910</v>
      </c>
      <c r="J330" s="6"/>
      <c r="K330" s="62"/>
      <c r="L330" s="25">
        <f>SUM(L328:L329)</f>
        <v>2336.5953938923999</v>
      </c>
      <c r="M330" s="37">
        <f>SUM(M328:M329)</f>
        <v>700.9786181677199</v>
      </c>
    </row>
    <row r="331" spans="1:16" ht="31.5" x14ac:dyDescent="0.25">
      <c r="A331" s="5" t="s">
        <v>398</v>
      </c>
      <c r="B331" s="6" t="s">
        <v>399</v>
      </c>
      <c r="C331" s="6" t="s">
        <v>15</v>
      </c>
      <c r="D331" s="6" t="s">
        <v>16</v>
      </c>
      <c r="E331" s="6" t="s">
        <v>3</v>
      </c>
      <c r="F331" s="6" t="s">
        <v>17</v>
      </c>
      <c r="G331" s="5" t="s">
        <v>404</v>
      </c>
      <c r="H331" s="6" t="s">
        <v>28</v>
      </c>
      <c r="I331" s="7">
        <v>573</v>
      </c>
      <c r="J331" s="6" t="s">
        <v>372</v>
      </c>
      <c r="K331" s="24">
        <v>2</v>
      </c>
      <c r="L331" s="9">
        <f>0.0573*255.26*117.5809</f>
        <v>1719.7850405981999</v>
      </c>
      <c r="M331" s="22">
        <f t="shared" ref="M331:M339" si="21">L331*0.3</f>
        <v>515.93551217945992</v>
      </c>
    </row>
    <row r="332" spans="1:16" ht="31.5" x14ac:dyDescent="0.25">
      <c r="A332" s="5" t="s">
        <v>398</v>
      </c>
      <c r="B332" s="6" t="s">
        <v>399</v>
      </c>
      <c r="C332" s="6" t="s">
        <v>15</v>
      </c>
      <c r="D332" s="6" t="s">
        <v>16</v>
      </c>
      <c r="E332" s="6" t="s">
        <v>3</v>
      </c>
      <c r="F332" s="6" t="s">
        <v>17</v>
      </c>
      <c r="G332" s="5" t="s">
        <v>405</v>
      </c>
      <c r="H332" s="6" t="s">
        <v>28</v>
      </c>
      <c r="I332" s="7">
        <v>315</v>
      </c>
      <c r="J332" s="6" t="s">
        <v>372</v>
      </c>
      <c r="K332" s="24">
        <v>3</v>
      </c>
      <c r="L332" s="15">
        <f>0.0315*255.26*117.5809</f>
        <v>945.43156682099993</v>
      </c>
      <c r="M332" s="19">
        <f t="shared" si="21"/>
        <v>283.62947004629996</v>
      </c>
    </row>
    <row r="333" spans="1:16" ht="31.5" x14ac:dyDescent="0.25">
      <c r="A333" s="5" t="s">
        <v>398</v>
      </c>
      <c r="B333" s="6" t="s">
        <v>399</v>
      </c>
      <c r="C333" s="6" t="s">
        <v>15</v>
      </c>
      <c r="D333" s="6" t="s">
        <v>16</v>
      </c>
      <c r="E333" s="6" t="s">
        <v>3</v>
      </c>
      <c r="F333" s="6" t="s">
        <v>17</v>
      </c>
      <c r="G333" s="5" t="s">
        <v>406</v>
      </c>
      <c r="H333" s="6" t="s">
        <v>24</v>
      </c>
      <c r="I333" s="7">
        <v>417</v>
      </c>
      <c r="J333" s="6" t="s">
        <v>372</v>
      </c>
      <c r="K333" s="24">
        <v>4</v>
      </c>
      <c r="L333" s="9">
        <f>0.0417*227.21*117.5809</f>
        <v>1114.0386972513002</v>
      </c>
      <c r="M333" s="22">
        <f t="shared" si="21"/>
        <v>334.21160917539004</v>
      </c>
    </row>
    <row r="334" spans="1:16" ht="31.5" x14ac:dyDescent="0.25">
      <c r="A334" s="5" t="s">
        <v>398</v>
      </c>
      <c r="B334" s="6" t="s">
        <v>399</v>
      </c>
      <c r="C334" s="6" t="s">
        <v>15</v>
      </c>
      <c r="D334" s="6" t="s">
        <v>16</v>
      </c>
      <c r="E334" s="6" t="s">
        <v>3</v>
      </c>
      <c r="F334" s="6" t="s">
        <v>17</v>
      </c>
      <c r="G334" s="5" t="s">
        <v>407</v>
      </c>
      <c r="H334" s="6" t="s">
        <v>24</v>
      </c>
      <c r="I334" s="7">
        <v>556</v>
      </c>
      <c r="J334" s="6" t="s">
        <v>372</v>
      </c>
      <c r="K334" s="24">
        <v>5</v>
      </c>
      <c r="L334" s="15">
        <f>0.0556*227.21*117.5809</f>
        <v>1485.3849296684</v>
      </c>
      <c r="M334" s="19">
        <f t="shared" si="21"/>
        <v>445.61547890051997</v>
      </c>
    </row>
    <row r="335" spans="1:16" ht="31.5" x14ac:dyDescent="0.25">
      <c r="A335" s="5" t="s">
        <v>398</v>
      </c>
      <c r="B335" s="6" t="s">
        <v>399</v>
      </c>
      <c r="C335" s="6" t="s">
        <v>15</v>
      </c>
      <c r="D335" s="6" t="s">
        <v>16</v>
      </c>
      <c r="E335" s="6" t="s">
        <v>3</v>
      </c>
      <c r="F335" s="6" t="s">
        <v>17</v>
      </c>
      <c r="G335" s="5" t="s">
        <v>408</v>
      </c>
      <c r="H335" s="6" t="s">
        <v>409</v>
      </c>
      <c r="I335" s="7">
        <v>8372</v>
      </c>
      <c r="J335" s="6" t="s">
        <v>218</v>
      </c>
      <c r="K335" s="24">
        <v>6</v>
      </c>
      <c r="L335" s="9">
        <f>0.8372*51.05*117.8509</f>
        <v>5036.8366861539998</v>
      </c>
      <c r="M335" s="22">
        <f t="shared" si="21"/>
        <v>1511.0510058461998</v>
      </c>
    </row>
    <row r="336" spans="1:16" ht="31.5" x14ac:dyDescent="0.25">
      <c r="A336" s="5" t="s">
        <v>398</v>
      </c>
      <c r="B336" s="6" t="s">
        <v>399</v>
      </c>
      <c r="C336" s="6" t="s">
        <v>15</v>
      </c>
      <c r="D336" s="6" t="s">
        <v>16</v>
      </c>
      <c r="E336" s="6" t="s">
        <v>3</v>
      </c>
      <c r="F336" s="6" t="s">
        <v>17</v>
      </c>
      <c r="G336" s="5" t="s">
        <v>410</v>
      </c>
      <c r="H336" s="6" t="s">
        <v>179</v>
      </c>
      <c r="I336" s="7">
        <v>1621</v>
      </c>
      <c r="J336" s="6" t="s">
        <v>411</v>
      </c>
      <c r="K336" s="24">
        <v>7</v>
      </c>
      <c r="L336" s="15">
        <f>0.1621*280.51*117.5809</f>
        <v>5346.4824197838998</v>
      </c>
      <c r="M336" s="19">
        <f t="shared" si="21"/>
        <v>1603.9447259351698</v>
      </c>
      <c r="N336" s="17"/>
    </row>
    <row r="337" spans="1:14" ht="22.5" x14ac:dyDescent="0.25">
      <c r="A337" s="5" t="s">
        <v>412</v>
      </c>
      <c r="B337" s="6" t="s">
        <v>413</v>
      </c>
      <c r="C337" s="6" t="s">
        <v>15</v>
      </c>
      <c r="D337" s="6" t="s">
        <v>16</v>
      </c>
      <c r="E337" s="6" t="s">
        <v>3</v>
      </c>
      <c r="F337" s="6" t="s">
        <v>17</v>
      </c>
      <c r="G337" s="5" t="s">
        <v>414</v>
      </c>
      <c r="H337" s="6" t="s">
        <v>28</v>
      </c>
      <c r="I337" s="7">
        <v>932</v>
      </c>
      <c r="J337" s="6" t="s">
        <v>372</v>
      </c>
      <c r="K337" s="24">
        <v>1</v>
      </c>
      <c r="L337" s="9">
        <f>0.0932*255.26*117.5809</f>
        <v>2797.2768897688002</v>
      </c>
      <c r="M337" s="22">
        <f t="shared" si="21"/>
        <v>839.18306693064005</v>
      </c>
      <c r="N337" s="17"/>
    </row>
    <row r="338" spans="1:14" ht="22.5" x14ac:dyDescent="0.25">
      <c r="A338" s="5" t="s">
        <v>412</v>
      </c>
      <c r="B338" s="6" t="s">
        <v>413</v>
      </c>
      <c r="C338" s="6" t="s">
        <v>15</v>
      </c>
      <c r="D338" s="6" t="s">
        <v>16</v>
      </c>
      <c r="E338" s="6" t="s">
        <v>3</v>
      </c>
      <c r="F338" s="6" t="s">
        <v>17</v>
      </c>
      <c r="G338" s="5" t="s">
        <v>415</v>
      </c>
      <c r="H338" s="6" t="s">
        <v>28</v>
      </c>
      <c r="I338" s="7">
        <v>2854</v>
      </c>
      <c r="J338" s="6" t="s">
        <v>372</v>
      </c>
      <c r="K338" s="60">
        <v>2</v>
      </c>
      <c r="L338" s="16">
        <f>0.2854*255.26*117.5809</f>
        <v>8565.9101324036001</v>
      </c>
      <c r="M338" s="21">
        <f t="shared" si="21"/>
        <v>2569.7730397210798</v>
      </c>
      <c r="N338" s="17"/>
    </row>
    <row r="339" spans="1:14" ht="22.5" x14ac:dyDescent="0.25">
      <c r="A339" s="5" t="s">
        <v>412</v>
      </c>
      <c r="B339" s="6" t="s">
        <v>413</v>
      </c>
      <c r="C339" s="6" t="s">
        <v>15</v>
      </c>
      <c r="D339" s="6" t="s">
        <v>16</v>
      </c>
      <c r="E339" s="6" t="s">
        <v>3</v>
      </c>
      <c r="F339" s="6" t="s">
        <v>17</v>
      </c>
      <c r="G339" s="5" t="s">
        <v>416</v>
      </c>
      <c r="H339" s="6" t="s">
        <v>28</v>
      </c>
      <c r="I339" s="7">
        <v>2157</v>
      </c>
      <c r="J339" s="6" t="s">
        <v>372</v>
      </c>
      <c r="K339" s="61"/>
      <c r="L339" s="12">
        <f>0.2157*255.26*117.5809</f>
        <v>6473.9552051838</v>
      </c>
      <c r="M339" s="20">
        <f t="shared" si="21"/>
        <v>1942.1865615551399</v>
      </c>
      <c r="N339" s="17"/>
    </row>
    <row r="340" spans="1:14" x14ac:dyDescent="0.25">
      <c r="A340" s="5"/>
      <c r="B340" s="6"/>
      <c r="C340" s="6"/>
      <c r="D340" s="6"/>
      <c r="E340" s="6"/>
      <c r="F340" s="6"/>
      <c r="G340" s="5"/>
      <c r="H340" s="13" t="s">
        <v>25</v>
      </c>
      <c r="I340" s="7">
        <f>SUM(I338:I339)</f>
        <v>5011</v>
      </c>
      <c r="J340" s="6"/>
      <c r="K340" s="62"/>
      <c r="L340" s="25">
        <f>SUM(L338:L339)</f>
        <v>15039.8653375874</v>
      </c>
      <c r="M340" s="37">
        <f>SUM(M338:M339)</f>
        <v>4511.9596012762195</v>
      </c>
      <c r="N340" s="17"/>
    </row>
    <row r="341" spans="1:14" ht="22.5" x14ac:dyDescent="0.25">
      <c r="A341" s="5" t="s">
        <v>412</v>
      </c>
      <c r="B341" s="6" t="s">
        <v>413</v>
      </c>
      <c r="C341" s="6" t="s">
        <v>15</v>
      </c>
      <c r="D341" s="6" t="s">
        <v>16</v>
      </c>
      <c r="E341" s="6" t="s">
        <v>3</v>
      </c>
      <c r="F341" s="6" t="s">
        <v>17</v>
      </c>
      <c r="G341" s="5" t="s">
        <v>417</v>
      </c>
      <c r="H341" s="6" t="s">
        <v>28</v>
      </c>
      <c r="I341" s="7">
        <v>1211</v>
      </c>
      <c r="J341" s="6" t="s">
        <v>372</v>
      </c>
      <c r="K341" s="24">
        <v>3</v>
      </c>
      <c r="L341" s="9">
        <f>0.1211*255.26*117.5809</f>
        <v>3634.6591346673999</v>
      </c>
      <c r="M341" s="22">
        <f t="shared" ref="M341:M346" si="22">L341*0.3</f>
        <v>1090.3977404002198</v>
      </c>
      <c r="N341" s="17"/>
    </row>
    <row r="342" spans="1:14" ht="22.5" x14ac:dyDescent="0.25">
      <c r="A342" s="5" t="s">
        <v>412</v>
      </c>
      <c r="B342" s="6" t="s">
        <v>413</v>
      </c>
      <c r="C342" s="6" t="s">
        <v>15</v>
      </c>
      <c r="D342" s="6" t="s">
        <v>16</v>
      </c>
      <c r="E342" s="6" t="s">
        <v>3</v>
      </c>
      <c r="F342" s="6" t="s">
        <v>17</v>
      </c>
      <c r="G342" s="5" t="s">
        <v>418</v>
      </c>
      <c r="H342" s="6" t="s">
        <v>28</v>
      </c>
      <c r="I342" s="7">
        <v>1101</v>
      </c>
      <c r="J342" s="6" t="s">
        <v>372</v>
      </c>
      <c r="K342" s="24">
        <v>4</v>
      </c>
      <c r="L342" s="15">
        <f>0.1101*255.26*117.5809</f>
        <v>3304.5084287934001</v>
      </c>
      <c r="M342" s="19">
        <f t="shared" si="22"/>
        <v>991.35252863801998</v>
      </c>
      <c r="N342" s="17"/>
    </row>
    <row r="343" spans="1:14" ht="22.5" x14ac:dyDescent="0.25">
      <c r="A343" s="27" t="s">
        <v>419</v>
      </c>
      <c r="B343" s="28" t="s">
        <v>420</v>
      </c>
      <c r="C343" s="28" t="s">
        <v>15</v>
      </c>
      <c r="D343" s="28" t="s">
        <v>16</v>
      </c>
      <c r="E343" s="28" t="s">
        <v>3</v>
      </c>
      <c r="F343" s="28" t="s">
        <v>17</v>
      </c>
      <c r="G343" s="27" t="s">
        <v>421</v>
      </c>
      <c r="H343" s="28" t="s">
        <v>422</v>
      </c>
      <c r="I343" s="29">
        <v>716</v>
      </c>
      <c r="J343" s="28" t="s">
        <v>423</v>
      </c>
      <c r="K343" s="39">
        <v>1</v>
      </c>
      <c r="L343" s="40">
        <f>0.0716*255.26*117.5809</f>
        <v>2148.9809582343996</v>
      </c>
      <c r="M343" s="40">
        <f t="shared" si="22"/>
        <v>644.69428747031986</v>
      </c>
    </row>
    <row r="344" spans="1:14" ht="22.5" x14ac:dyDescent="0.25">
      <c r="A344" s="5" t="s">
        <v>419</v>
      </c>
      <c r="B344" s="6" t="s">
        <v>420</v>
      </c>
      <c r="C344" s="6" t="s">
        <v>15</v>
      </c>
      <c r="D344" s="6" t="s">
        <v>16</v>
      </c>
      <c r="E344" s="6" t="s">
        <v>3</v>
      </c>
      <c r="F344" s="6" t="s">
        <v>17</v>
      </c>
      <c r="G344" s="5" t="s">
        <v>424</v>
      </c>
      <c r="H344" s="6" t="s">
        <v>28</v>
      </c>
      <c r="I344" s="7">
        <v>11701</v>
      </c>
      <c r="J344" s="6" t="s">
        <v>423</v>
      </c>
      <c r="K344" s="24">
        <v>2</v>
      </c>
      <c r="L344" s="19">
        <f>1.1701*255.26*117.5809</f>
        <v>35119.030994833396</v>
      </c>
      <c r="M344" s="19">
        <f t="shared" si="22"/>
        <v>10535.709298450018</v>
      </c>
    </row>
    <row r="345" spans="1:14" ht="22.5" x14ac:dyDescent="0.25">
      <c r="A345" s="5" t="s">
        <v>419</v>
      </c>
      <c r="B345" s="6" t="s">
        <v>420</v>
      </c>
      <c r="C345" s="6" t="s">
        <v>15</v>
      </c>
      <c r="D345" s="6" t="s">
        <v>16</v>
      </c>
      <c r="E345" s="6" t="s">
        <v>3</v>
      </c>
      <c r="F345" s="6" t="s">
        <v>17</v>
      </c>
      <c r="G345" s="5" t="s">
        <v>425</v>
      </c>
      <c r="H345" s="6" t="s">
        <v>24</v>
      </c>
      <c r="I345" s="7">
        <v>2245</v>
      </c>
      <c r="J345" s="6" t="s">
        <v>423</v>
      </c>
      <c r="K345" s="60">
        <v>3</v>
      </c>
      <c r="L345" s="20">
        <f>0.2245*227.21*117.5809</f>
        <v>5997.6423868805005</v>
      </c>
      <c r="M345" s="20">
        <f t="shared" si="22"/>
        <v>1799.29271606415</v>
      </c>
    </row>
    <row r="346" spans="1:14" ht="22.5" x14ac:dyDescent="0.25">
      <c r="A346" s="5" t="s">
        <v>419</v>
      </c>
      <c r="B346" s="6" t="s">
        <v>420</v>
      </c>
      <c r="C346" s="6" t="s">
        <v>15</v>
      </c>
      <c r="D346" s="6" t="s">
        <v>16</v>
      </c>
      <c r="E346" s="6" t="s">
        <v>3</v>
      </c>
      <c r="F346" s="6" t="s">
        <v>17</v>
      </c>
      <c r="G346" s="5" t="s">
        <v>426</v>
      </c>
      <c r="H346" s="6" t="s">
        <v>24</v>
      </c>
      <c r="I346" s="7">
        <v>2669</v>
      </c>
      <c r="J346" s="6" t="s">
        <v>372</v>
      </c>
      <c r="K346" s="61"/>
      <c r="L346" s="21">
        <f>0.2669*227.21*117.5809</f>
        <v>7130.3819735341012</v>
      </c>
      <c r="M346" s="21">
        <f t="shared" si="22"/>
        <v>2139.1145920602303</v>
      </c>
    </row>
    <row r="347" spans="1:14" x14ac:dyDescent="0.25">
      <c r="A347" s="5"/>
      <c r="B347" s="6"/>
      <c r="C347" s="6"/>
      <c r="D347" s="6"/>
      <c r="E347" s="6"/>
      <c r="F347" s="6"/>
      <c r="G347" s="5"/>
      <c r="H347" s="13" t="s">
        <v>25</v>
      </c>
      <c r="I347" s="7">
        <f>SUM(I345:I346)</f>
        <v>4914</v>
      </c>
      <c r="J347" s="6"/>
      <c r="K347" s="62"/>
      <c r="L347" s="38">
        <f>SUM(L345:L346)</f>
        <v>13128.024360414602</v>
      </c>
      <c r="M347" s="38">
        <f>SUM(M345:M346)</f>
        <v>3938.4073081243805</v>
      </c>
    </row>
    <row r="348" spans="1:14" ht="22.5" x14ac:dyDescent="0.25">
      <c r="A348" s="5" t="s">
        <v>419</v>
      </c>
      <c r="B348" s="6" t="s">
        <v>420</v>
      </c>
      <c r="C348" s="6" t="s">
        <v>15</v>
      </c>
      <c r="D348" s="6" t="s">
        <v>16</v>
      </c>
      <c r="E348" s="6" t="s">
        <v>3</v>
      </c>
      <c r="F348" s="6" t="s">
        <v>17</v>
      </c>
      <c r="G348" s="5" t="s">
        <v>427</v>
      </c>
      <c r="H348" s="6" t="s">
        <v>28</v>
      </c>
      <c r="I348" s="7">
        <v>2636</v>
      </c>
      <c r="J348" s="6" t="s">
        <v>372</v>
      </c>
      <c r="K348" s="60">
        <v>4</v>
      </c>
      <c r="L348" s="21">
        <f>0.2636*255.26*117.5809</f>
        <v>7911.6114607623995</v>
      </c>
      <c r="M348" s="21">
        <f t="shared" ref="M348:M356" si="23">L348*0.3</f>
        <v>2373.4834382287199</v>
      </c>
    </row>
    <row r="349" spans="1:14" ht="22.5" x14ac:dyDescent="0.25">
      <c r="A349" s="5" t="s">
        <v>419</v>
      </c>
      <c r="B349" s="6" t="s">
        <v>420</v>
      </c>
      <c r="C349" s="6" t="s">
        <v>15</v>
      </c>
      <c r="D349" s="6" t="s">
        <v>16</v>
      </c>
      <c r="E349" s="6" t="s">
        <v>3</v>
      </c>
      <c r="F349" s="6" t="s">
        <v>17</v>
      </c>
      <c r="G349" s="5" t="s">
        <v>428</v>
      </c>
      <c r="H349" s="6" t="s">
        <v>28</v>
      </c>
      <c r="I349" s="7">
        <v>1910</v>
      </c>
      <c r="J349" s="6" t="s">
        <v>372</v>
      </c>
      <c r="K349" s="61"/>
      <c r="L349" s="20">
        <f>0.191*255.26*117.5809</f>
        <v>5732.6168019940005</v>
      </c>
      <c r="M349" s="20">
        <f t="shared" si="23"/>
        <v>1719.7850405982001</v>
      </c>
    </row>
    <row r="350" spans="1:14" ht="22.5" x14ac:dyDescent="0.25">
      <c r="A350" s="5" t="s">
        <v>419</v>
      </c>
      <c r="B350" s="6" t="s">
        <v>420</v>
      </c>
      <c r="C350" s="6" t="s">
        <v>15</v>
      </c>
      <c r="D350" s="6" t="s">
        <v>16</v>
      </c>
      <c r="E350" s="6" t="s">
        <v>3</v>
      </c>
      <c r="F350" s="6" t="s">
        <v>17</v>
      </c>
      <c r="G350" s="5" t="s">
        <v>429</v>
      </c>
      <c r="H350" s="6" t="s">
        <v>28</v>
      </c>
      <c r="I350" s="7">
        <v>2985</v>
      </c>
      <c r="J350" s="6" t="s">
        <v>372</v>
      </c>
      <c r="K350" s="61"/>
      <c r="L350" s="21">
        <f>0.2985*255.26*117.5809</f>
        <v>8959.0896093989995</v>
      </c>
      <c r="M350" s="21">
        <f t="shared" si="23"/>
        <v>2687.7268828196998</v>
      </c>
    </row>
    <row r="351" spans="1:14" ht="22.5" x14ac:dyDescent="0.25">
      <c r="A351" s="5" t="s">
        <v>419</v>
      </c>
      <c r="B351" s="6" t="s">
        <v>420</v>
      </c>
      <c r="C351" s="6" t="s">
        <v>15</v>
      </c>
      <c r="D351" s="6" t="s">
        <v>16</v>
      </c>
      <c r="E351" s="6" t="s">
        <v>3</v>
      </c>
      <c r="F351" s="6" t="s">
        <v>17</v>
      </c>
      <c r="G351" s="5" t="s">
        <v>430</v>
      </c>
      <c r="H351" s="6" t="s">
        <v>28</v>
      </c>
      <c r="I351" s="7">
        <v>3052</v>
      </c>
      <c r="J351" s="6" t="s">
        <v>372</v>
      </c>
      <c r="K351" s="61"/>
      <c r="L351" s="20">
        <f>0.3052*255.26*117.5809</f>
        <v>9160.1814029768011</v>
      </c>
      <c r="M351" s="20">
        <f t="shared" si="23"/>
        <v>2748.0544208930401</v>
      </c>
    </row>
    <row r="352" spans="1:14" ht="22.5" x14ac:dyDescent="0.25">
      <c r="A352" s="5" t="s">
        <v>419</v>
      </c>
      <c r="B352" s="6" t="s">
        <v>420</v>
      </c>
      <c r="C352" s="6" t="s">
        <v>15</v>
      </c>
      <c r="D352" s="6" t="s">
        <v>16</v>
      </c>
      <c r="E352" s="6" t="s">
        <v>3</v>
      </c>
      <c r="F352" s="6" t="s">
        <v>17</v>
      </c>
      <c r="G352" s="5" t="s">
        <v>431</v>
      </c>
      <c r="H352" s="6" t="s">
        <v>28</v>
      </c>
      <c r="I352" s="7">
        <v>2889</v>
      </c>
      <c r="J352" s="6" t="s">
        <v>372</v>
      </c>
      <c r="K352" s="61"/>
      <c r="L352" s="21">
        <f>0.2889*255.26*117.5809</f>
        <v>8670.9580842725991</v>
      </c>
      <c r="M352" s="21">
        <f t="shared" si="23"/>
        <v>2601.2874252817796</v>
      </c>
    </row>
    <row r="353" spans="1:13" ht="22.5" x14ac:dyDescent="0.25">
      <c r="A353" s="5" t="s">
        <v>419</v>
      </c>
      <c r="B353" s="6" t="s">
        <v>420</v>
      </c>
      <c r="C353" s="6" t="s">
        <v>15</v>
      </c>
      <c r="D353" s="6" t="s">
        <v>16</v>
      </c>
      <c r="E353" s="6" t="s">
        <v>3</v>
      </c>
      <c r="F353" s="6" t="s">
        <v>17</v>
      </c>
      <c r="G353" s="5" t="s">
        <v>432</v>
      </c>
      <c r="H353" s="6" t="s">
        <v>422</v>
      </c>
      <c r="I353" s="7">
        <v>341</v>
      </c>
      <c r="J353" s="6" t="s">
        <v>372</v>
      </c>
      <c r="K353" s="61"/>
      <c r="L353" s="20">
        <f>0.0341*255.26*117.5809</f>
        <v>1023.4671882093999</v>
      </c>
      <c r="M353" s="20">
        <f t="shared" si="23"/>
        <v>307.04015646281994</v>
      </c>
    </row>
    <row r="354" spans="1:13" ht="22.5" x14ac:dyDescent="0.25">
      <c r="A354" s="5" t="s">
        <v>419</v>
      </c>
      <c r="B354" s="6" t="s">
        <v>420</v>
      </c>
      <c r="C354" s="6" t="s">
        <v>15</v>
      </c>
      <c r="D354" s="6" t="s">
        <v>16</v>
      </c>
      <c r="E354" s="6" t="s">
        <v>3</v>
      </c>
      <c r="F354" s="6" t="s">
        <v>17</v>
      </c>
      <c r="G354" s="5" t="s">
        <v>433</v>
      </c>
      <c r="H354" s="6" t="s">
        <v>28</v>
      </c>
      <c r="I354" s="7">
        <v>2243</v>
      </c>
      <c r="J354" s="6" t="s">
        <v>434</v>
      </c>
      <c r="K354" s="61"/>
      <c r="L354" s="21">
        <f>0.2243*255.26*117.5809</f>
        <v>6732.0730297762002</v>
      </c>
      <c r="M354" s="21">
        <f t="shared" si="23"/>
        <v>2019.6219089328599</v>
      </c>
    </row>
    <row r="355" spans="1:13" ht="22.5" x14ac:dyDescent="0.25">
      <c r="A355" s="5" t="s">
        <v>419</v>
      </c>
      <c r="B355" s="6" t="s">
        <v>420</v>
      </c>
      <c r="C355" s="6" t="s">
        <v>15</v>
      </c>
      <c r="D355" s="6" t="s">
        <v>16</v>
      </c>
      <c r="E355" s="6" t="s">
        <v>3</v>
      </c>
      <c r="F355" s="6" t="s">
        <v>17</v>
      </c>
      <c r="G355" s="5" t="s">
        <v>435</v>
      </c>
      <c r="H355" s="6" t="s">
        <v>28</v>
      </c>
      <c r="I355" s="7">
        <v>2059</v>
      </c>
      <c r="J355" s="6" t="s">
        <v>434</v>
      </c>
      <c r="K355" s="61"/>
      <c r="L355" s="20">
        <f>0.2059*255.26*117.5809</f>
        <v>6179.8209399505995</v>
      </c>
      <c r="M355" s="20">
        <f t="shared" si="23"/>
        <v>1853.9462819851797</v>
      </c>
    </row>
    <row r="356" spans="1:13" ht="22.5" x14ac:dyDescent="0.25">
      <c r="A356" s="5" t="s">
        <v>419</v>
      </c>
      <c r="B356" s="6" t="s">
        <v>420</v>
      </c>
      <c r="C356" s="6" t="s">
        <v>15</v>
      </c>
      <c r="D356" s="6" t="s">
        <v>16</v>
      </c>
      <c r="E356" s="6" t="s">
        <v>3</v>
      </c>
      <c r="F356" s="6" t="s">
        <v>17</v>
      </c>
      <c r="G356" s="5" t="s">
        <v>436</v>
      </c>
      <c r="H356" s="6" t="s">
        <v>28</v>
      </c>
      <c r="I356" s="7">
        <v>1578</v>
      </c>
      <c r="J356" s="6" t="s">
        <v>434</v>
      </c>
      <c r="K356" s="61"/>
      <c r="L356" s="21">
        <f>0.1578*255.26*117.5809</f>
        <v>4736.1619442651991</v>
      </c>
      <c r="M356" s="21">
        <f t="shared" si="23"/>
        <v>1420.8485832795598</v>
      </c>
    </row>
    <row r="357" spans="1:13" x14ac:dyDescent="0.25">
      <c r="A357" s="5"/>
      <c r="B357" s="6"/>
      <c r="C357" s="6"/>
      <c r="D357" s="6"/>
      <c r="E357" s="6"/>
      <c r="F357" s="6"/>
      <c r="G357" s="5"/>
      <c r="H357" s="13" t="s">
        <v>25</v>
      </c>
      <c r="I357" s="7">
        <f>SUM(I348:I356)</f>
        <v>19693</v>
      </c>
      <c r="J357" s="6"/>
      <c r="K357" s="62"/>
      <c r="L357" s="38">
        <f>SUM(L348:L356)</f>
        <v>59105.980461606196</v>
      </c>
      <c r="M357" s="38">
        <f>+SUM(M348:M356)</f>
        <v>17731.794138481859</v>
      </c>
    </row>
    <row r="358" spans="1:13" ht="33.75" x14ac:dyDescent="0.25">
      <c r="A358" s="5" t="s">
        <v>419</v>
      </c>
      <c r="B358" s="6" t="s">
        <v>420</v>
      </c>
      <c r="C358" s="6" t="s">
        <v>15</v>
      </c>
      <c r="D358" s="6" t="s">
        <v>16</v>
      </c>
      <c r="E358" s="6" t="s">
        <v>3</v>
      </c>
      <c r="F358" s="6" t="s">
        <v>17</v>
      </c>
      <c r="G358" s="5" t="s">
        <v>332</v>
      </c>
      <c r="H358" s="6" t="s">
        <v>28</v>
      </c>
      <c r="I358" s="7">
        <v>636</v>
      </c>
      <c r="J358" s="6" t="s">
        <v>104</v>
      </c>
      <c r="K358" s="60">
        <v>5</v>
      </c>
      <c r="L358" s="21">
        <f>0.0636*255.26*117.5809</f>
        <v>1908.8713539624002</v>
      </c>
      <c r="M358" s="21">
        <f>L358*0.3</f>
        <v>572.66140618872009</v>
      </c>
    </row>
    <row r="359" spans="1:13" ht="33.75" x14ac:dyDescent="0.25">
      <c r="A359" s="5" t="s">
        <v>419</v>
      </c>
      <c r="B359" s="6" t="s">
        <v>420</v>
      </c>
      <c r="C359" s="6" t="s">
        <v>15</v>
      </c>
      <c r="D359" s="6" t="s">
        <v>16</v>
      </c>
      <c r="E359" s="6" t="s">
        <v>3</v>
      </c>
      <c r="F359" s="6" t="s">
        <v>17</v>
      </c>
      <c r="G359" s="5" t="s">
        <v>437</v>
      </c>
      <c r="H359" s="6" t="s">
        <v>59</v>
      </c>
      <c r="I359" s="7">
        <v>12707</v>
      </c>
      <c r="J359" s="6" t="s">
        <v>104</v>
      </c>
      <c r="K359" s="61"/>
      <c r="L359" s="20">
        <f>1.2707*45.44*117.5809</f>
        <v>6789.1926551871993</v>
      </c>
      <c r="M359" s="20">
        <f>L359*0.3</f>
        <v>2036.7577965561597</v>
      </c>
    </row>
    <row r="360" spans="1:13" x14ac:dyDescent="0.25">
      <c r="A360" s="5"/>
      <c r="B360" s="6"/>
      <c r="C360" s="6"/>
      <c r="D360" s="6"/>
      <c r="E360" s="6"/>
      <c r="F360" s="6"/>
      <c r="G360" s="5"/>
      <c r="H360" s="13" t="s">
        <v>25</v>
      </c>
      <c r="I360" s="7">
        <f>SUM(I358:I359)</f>
        <v>13343</v>
      </c>
      <c r="J360" s="6"/>
      <c r="K360" s="62"/>
      <c r="L360" s="37">
        <f>SUM(L358:L359)</f>
        <v>8698.0640091495989</v>
      </c>
      <c r="M360" s="37">
        <f>SUM(M358:M359)</f>
        <v>2609.4192027448798</v>
      </c>
    </row>
    <row r="361" spans="1:13" ht="22.5" x14ac:dyDescent="0.25">
      <c r="A361" s="5" t="s">
        <v>419</v>
      </c>
      <c r="B361" s="6" t="s">
        <v>420</v>
      </c>
      <c r="C361" s="6" t="s">
        <v>15</v>
      </c>
      <c r="D361" s="6" t="s">
        <v>16</v>
      </c>
      <c r="E361" s="6" t="s">
        <v>3</v>
      </c>
      <c r="F361" s="6" t="s">
        <v>17</v>
      </c>
      <c r="G361" s="5" t="s">
        <v>438</v>
      </c>
      <c r="H361" s="6" t="s">
        <v>28</v>
      </c>
      <c r="I361" s="7">
        <v>553</v>
      </c>
      <c r="J361" s="6" t="s">
        <v>372</v>
      </c>
      <c r="K361" s="60">
        <v>6</v>
      </c>
      <c r="L361" s="20">
        <f>0.0553*255.26*117.5809</f>
        <v>1659.7576395302001</v>
      </c>
      <c r="M361" s="20">
        <f>L361*0.3</f>
        <v>497.92729185906001</v>
      </c>
    </row>
    <row r="362" spans="1:13" ht="22.5" x14ac:dyDescent="0.25">
      <c r="A362" s="5" t="s">
        <v>419</v>
      </c>
      <c r="B362" s="6" t="s">
        <v>420</v>
      </c>
      <c r="C362" s="6" t="s">
        <v>15</v>
      </c>
      <c r="D362" s="6" t="s">
        <v>16</v>
      </c>
      <c r="E362" s="6" t="s">
        <v>3</v>
      </c>
      <c r="F362" s="6" t="s">
        <v>17</v>
      </c>
      <c r="G362" s="5" t="s">
        <v>439</v>
      </c>
      <c r="H362" s="6" t="s">
        <v>28</v>
      </c>
      <c r="I362" s="7">
        <v>758</v>
      </c>
      <c r="J362" s="6" t="s">
        <v>372</v>
      </c>
      <c r="K362" s="61"/>
      <c r="L362" s="21">
        <f>0.0758*255.26*117.5809</f>
        <v>2275.0385004772002</v>
      </c>
      <c r="M362" s="21">
        <f>L362*0.3</f>
        <v>682.51155014315998</v>
      </c>
    </row>
    <row r="363" spans="1:13" x14ac:dyDescent="0.25">
      <c r="A363" s="5"/>
      <c r="B363" s="6"/>
      <c r="C363" s="6"/>
      <c r="D363" s="6"/>
      <c r="E363" s="6"/>
      <c r="F363" s="6"/>
      <c r="G363" s="5"/>
      <c r="H363" s="13" t="s">
        <v>25</v>
      </c>
      <c r="I363" s="7">
        <f>SUM(I361:I362)</f>
        <v>1311</v>
      </c>
      <c r="J363" s="6"/>
      <c r="K363" s="62"/>
      <c r="L363" s="38">
        <f>SUM(L361:L362)</f>
        <v>3934.7961400074</v>
      </c>
      <c r="M363" s="38">
        <f>SUM(M361:M362)</f>
        <v>1180.4388420022201</v>
      </c>
    </row>
    <row r="364" spans="1:13" ht="22.5" x14ac:dyDescent="0.25">
      <c r="A364" s="5" t="s">
        <v>419</v>
      </c>
      <c r="B364" s="6" t="s">
        <v>420</v>
      </c>
      <c r="C364" s="6" t="s">
        <v>15</v>
      </c>
      <c r="D364" s="6" t="s">
        <v>16</v>
      </c>
      <c r="E364" s="6" t="s">
        <v>3</v>
      </c>
      <c r="F364" s="6" t="s">
        <v>17</v>
      </c>
      <c r="G364" s="5" t="s">
        <v>440</v>
      </c>
      <c r="H364" s="6" t="s">
        <v>28</v>
      </c>
      <c r="I364" s="7">
        <v>11862</v>
      </c>
      <c r="J364" s="6" t="s">
        <v>372</v>
      </c>
      <c r="K364" s="60">
        <v>7</v>
      </c>
      <c r="L364" s="16">
        <f>1.1862*255.26*117.5809</f>
        <v>35602.251573430796</v>
      </c>
      <c r="M364" s="16">
        <f t="shared" ref="M364:M371" si="24">L364*0.3</f>
        <v>10680.675472029239</v>
      </c>
    </row>
    <row r="365" spans="1:13" ht="22.5" x14ac:dyDescent="0.25">
      <c r="A365" s="5" t="s">
        <v>419</v>
      </c>
      <c r="B365" s="6" t="s">
        <v>420</v>
      </c>
      <c r="C365" s="6" t="s">
        <v>15</v>
      </c>
      <c r="D365" s="6" t="s">
        <v>16</v>
      </c>
      <c r="E365" s="6" t="s">
        <v>3</v>
      </c>
      <c r="F365" s="6" t="s">
        <v>17</v>
      </c>
      <c r="G365" s="5" t="s">
        <v>441</v>
      </c>
      <c r="H365" s="6" t="s">
        <v>28</v>
      </c>
      <c r="I365" s="7">
        <v>10681</v>
      </c>
      <c r="J365" s="6" t="s">
        <v>423</v>
      </c>
      <c r="K365" s="61"/>
      <c r="L365" s="12">
        <f>1.0681*255.26*117.5809</f>
        <v>32057.633540365401</v>
      </c>
      <c r="M365" s="12">
        <f t="shared" si="24"/>
        <v>9617.2900621096196</v>
      </c>
    </row>
    <row r="366" spans="1:13" ht="22.5" x14ac:dyDescent="0.25">
      <c r="A366" s="5" t="s">
        <v>419</v>
      </c>
      <c r="B366" s="6" t="s">
        <v>420</v>
      </c>
      <c r="C366" s="6" t="s">
        <v>15</v>
      </c>
      <c r="D366" s="6" t="s">
        <v>16</v>
      </c>
      <c r="E366" s="6" t="s">
        <v>3</v>
      </c>
      <c r="F366" s="6" t="s">
        <v>17</v>
      </c>
      <c r="G366" s="5" t="s">
        <v>442</v>
      </c>
      <c r="H366" s="6" t="s">
        <v>28</v>
      </c>
      <c r="I366" s="7">
        <v>300</v>
      </c>
      <c r="J366" s="6" t="s">
        <v>423</v>
      </c>
      <c r="K366" s="61"/>
      <c r="L366" s="21">
        <f>0.03*255.26*117.5809</f>
        <v>900.41101601999992</v>
      </c>
      <c r="M366" s="21">
        <f t="shared" si="24"/>
        <v>270.12330480599996</v>
      </c>
    </row>
    <row r="367" spans="1:13" ht="22.5" x14ac:dyDescent="0.25">
      <c r="A367" s="5" t="s">
        <v>419</v>
      </c>
      <c r="B367" s="6" t="s">
        <v>420</v>
      </c>
      <c r="C367" s="6" t="s">
        <v>15</v>
      </c>
      <c r="D367" s="6" t="s">
        <v>16</v>
      </c>
      <c r="E367" s="6" t="s">
        <v>3</v>
      </c>
      <c r="F367" s="6" t="s">
        <v>17</v>
      </c>
      <c r="G367" s="5" t="s">
        <v>443</v>
      </c>
      <c r="H367" s="6" t="s">
        <v>422</v>
      </c>
      <c r="I367" s="7">
        <v>250</v>
      </c>
      <c r="J367" s="6" t="s">
        <v>423</v>
      </c>
      <c r="K367" s="61"/>
      <c r="L367" s="20">
        <f>0.025*255.26*117.5809</f>
        <v>750.34251334999999</v>
      </c>
      <c r="M367" s="20">
        <f t="shared" si="24"/>
        <v>225.10275400499998</v>
      </c>
    </row>
    <row r="368" spans="1:13" ht="22.5" x14ac:dyDescent="0.25">
      <c r="A368" s="5" t="s">
        <v>419</v>
      </c>
      <c r="B368" s="6" t="s">
        <v>420</v>
      </c>
      <c r="C368" s="6" t="s">
        <v>15</v>
      </c>
      <c r="D368" s="6" t="s">
        <v>16</v>
      </c>
      <c r="E368" s="6" t="s">
        <v>3</v>
      </c>
      <c r="F368" s="6" t="s">
        <v>17</v>
      </c>
      <c r="G368" s="5" t="s">
        <v>444</v>
      </c>
      <c r="H368" s="6" t="s">
        <v>422</v>
      </c>
      <c r="I368" s="7">
        <v>250</v>
      </c>
      <c r="J368" s="6" t="s">
        <v>423</v>
      </c>
      <c r="K368" s="61"/>
      <c r="L368" s="21">
        <f>0.025*255.26*117.5809</f>
        <v>750.34251334999999</v>
      </c>
      <c r="M368" s="21">
        <f t="shared" si="24"/>
        <v>225.10275400499998</v>
      </c>
    </row>
    <row r="369" spans="1:13" ht="22.5" x14ac:dyDescent="0.25">
      <c r="A369" s="5" t="s">
        <v>419</v>
      </c>
      <c r="B369" s="6" t="s">
        <v>420</v>
      </c>
      <c r="C369" s="6" t="s">
        <v>15</v>
      </c>
      <c r="D369" s="6" t="s">
        <v>16</v>
      </c>
      <c r="E369" s="6" t="s">
        <v>3</v>
      </c>
      <c r="F369" s="6" t="s">
        <v>17</v>
      </c>
      <c r="G369" s="5" t="s">
        <v>445</v>
      </c>
      <c r="H369" s="6" t="s">
        <v>28</v>
      </c>
      <c r="I369" s="7">
        <v>311</v>
      </c>
      <c r="J369" s="6" t="s">
        <v>423</v>
      </c>
      <c r="K369" s="61"/>
      <c r="L369" s="20">
        <f>0.0311*255.26*117.5809</f>
        <v>933.42608660739995</v>
      </c>
      <c r="M369" s="20">
        <f t="shared" si="24"/>
        <v>280.02782598221995</v>
      </c>
    </row>
    <row r="370" spans="1:13" ht="22.5" x14ac:dyDescent="0.25">
      <c r="A370" s="5" t="s">
        <v>419</v>
      </c>
      <c r="B370" s="6" t="s">
        <v>420</v>
      </c>
      <c r="C370" s="6" t="s">
        <v>15</v>
      </c>
      <c r="D370" s="6" t="s">
        <v>16</v>
      </c>
      <c r="E370" s="6" t="s">
        <v>3</v>
      </c>
      <c r="F370" s="6" t="s">
        <v>17</v>
      </c>
      <c r="G370" s="5" t="s">
        <v>446</v>
      </c>
      <c r="H370" s="6" t="s">
        <v>28</v>
      </c>
      <c r="I370" s="7">
        <v>266</v>
      </c>
      <c r="J370" s="6" t="s">
        <v>372</v>
      </c>
      <c r="K370" s="61"/>
      <c r="L370" s="21">
        <f>0.0266*255.26*117.5809</f>
        <v>798.36443420440003</v>
      </c>
      <c r="M370" s="21">
        <f t="shared" si="24"/>
        <v>239.50933026132</v>
      </c>
    </row>
    <row r="371" spans="1:13" ht="22.5" x14ac:dyDescent="0.25">
      <c r="A371" s="5" t="s">
        <v>419</v>
      </c>
      <c r="B371" s="6" t="s">
        <v>420</v>
      </c>
      <c r="C371" s="6" t="s">
        <v>15</v>
      </c>
      <c r="D371" s="6" t="s">
        <v>16</v>
      </c>
      <c r="E371" s="6" t="s">
        <v>3</v>
      </c>
      <c r="F371" s="6" t="s">
        <v>17</v>
      </c>
      <c r="G371" s="5" t="s">
        <v>447</v>
      </c>
      <c r="H371" s="6" t="s">
        <v>28</v>
      </c>
      <c r="I371" s="7">
        <v>231</v>
      </c>
      <c r="J371" s="6" t="s">
        <v>372</v>
      </c>
      <c r="K371" s="61"/>
      <c r="L371" s="20">
        <f>0.0231*255.26*117.5809</f>
        <v>693.3164823354</v>
      </c>
      <c r="M371" s="20">
        <f t="shared" si="24"/>
        <v>207.99494470061998</v>
      </c>
    </row>
    <row r="372" spans="1:13" x14ac:dyDescent="0.25">
      <c r="A372" s="5"/>
      <c r="B372" s="6"/>
      <c r="C372" s="6"/>
      <c r="D372" s="6"/>
      <c r="E372" s="6"/>
      <c r="F372" s="6"/>
      <c r="G372" s="5"/>
      <c r="H372" s="13" t="s">
        <v>25</v>
      </c>
      <c r="I372" s="7">
        <f>+SUM(I364:I371)</f>
        <v>24151</v>
      </c>
      <c r="J372" s="6"/>
      <c r="K372" s="62"/>
      <c r="L372" s="19">
        <f>SUM(L364:L371)</f>
        <v>72486.088159663399</v>
      </c>
      <c r="M372" s="19">
        <f>SUM(M364:M371)</f>
        <v>21745.826447899017</v>
      </c>
    </row>
    <row r="373" spans="1:13" ht="22.5" x14ac:dyDescent="0.25">
      <c r="A373" s="5" t="s">
        <v>419</v>
      </c>
      <c r="B373" s="6" t="s">
        <v>420</v>
      </c>
      <c r="C373" s="6" t="s">
        <v>15</v>
      </c>
      <c r="D373" s="6" t="s">
        <v>16</v>
      </c>
      <c r="E373" s="6" t="s">
        <v>3</v>
      </c>
      <c r="F373" s="6" t="s">
        <v>17</v>
      </c>
      <c r="G373" s="5" t="s">
        <v>448</v>
      </c>
      <c r="H373" s="6" t="s">
        <v>54</v>
      </c>
      <c r="I373" s="7">
        <v>820</v>
      </c>
      <c r="J373" s="6" t="s">
        <v>372</v>
      </c>
      <c r="K373" s="24">
        <v>8</v>
      </c>
      <c r="L373" s="22">
        <f>0.082*40.39*117.5809</f>
        <v>389.42558918200001</v>
      </c>
      <c r="M373" s="22">
        <f>L373*0.3</f>
        <v>116.82767675459999</v>
      </c>
    </row>
    <row r="374" spans="1:13" ht="22.5" x14ac:dyDescent="0.25">
      <c r="A374" s="5" t="s">
        <v>419</v>
      </c>
      <c r="B374" s="6" t="s">
        <v>420</v>
      </c>
      <c r="C374" s="6" t="s">
        <v>15</v>
      </c>
      <c r="D374" s="6" t="s">
        <v>16</v>
      </c>
      <c r="E374" s="6" t="s">
        <v>3</v>
      </c>
      <c r="F374" s="6" t="s">
        <v>17</v>
      </c>
      <c r="G374" s="5" t="s">
        <v>449</v>
      </c>
      <c r="H374" s="6" t="s">
        <v>24</v>
      </c>
      <c r="I374" s="7">
        <v>306</v>
      </c>
      <c r="J374" s="6" t="s">
        <v>450</v>
      </c>
      <c r="K374" s="60">
        <v>9</v>
      </c>
      <c r="L374" s="21">
        <f>0.0306*227.21*117.5809</f>
        <v>817.49602244339997</v>
      </c>
      <c r="M374" s="21">
        <f>L374*0.3</f>
        <v>245.24880673301999</v>
      </c>
    </row>
    <row r="375" spans="1:13" ht="22.5" x14ac:dyDescent="0.25">
      <c r="A375" s="5" t="s">
        <v>419</v>
      </c>
      <c r="B375" s="6" t="s">
        <v>420</v>
      </c>
      <c r="C375" s="6" t="s">
        <v>15</v>
      </c>
      <c r="D375" s="6" t="s">
        <v>16</v>
      </c>
      <c r="E375" s="6" t="s">
        <v>3</v>
      </c>
      <c r="F375" s="6" t="s">
        <v>17</v>
      </c>
      <c r="G375" s="5" t="s">
        <v>451</v>
      </c>
      <c r="H375" s="6" t="s">
        <v>24</v>
      </c>
      <c r="I375" s="7">
        <v>302</v>
      </c>
      <c r="J375" s="6" t="s">
        <v>450</v>
      </c>
      <c r="K375" s="61"/>
      <c r="L375" s="20">
        <f>0.0302*227.21*117.5809</f>
        <v>806.8097999278001</v>
      </c>
      <c r="M375" s="20">
        <f>L375*0.3</f>
        <v>242.04293997834003</v>
      </c>
    </row>
    <row r="376" spans="1:13" x14ac:dyDescent="0.25">
      <c r="A376" s="5"/>
      <c r="B376" s="6"/>
      <c r="C376" s="6"/>
      <c r="D376" s="6"/>
      <c r="E376" s="6"/>
      <c r="F376" s="6"/>
      <c r="G376" s="5"/>
      <c r="H376" s="13" t="s">
        <v>25</v>
      </c>
      <c r="I376" s="7">
        <f>SUM(I374:I375)</f>
        <v>608</v>
      </c>
      <c r="J376" s="6"/>
      <c r="K376" s="62"/>
      <c r="L376" s="37">
        <f>SUM(L374:L375)</f>
        <v>1624.3058223712001</v>
      </c>
      <c r="M376" s="37">
        <f>SUM(M374:M375)</f>
        <v>487.29174671136002</v>
      </c>
    </row>
    <row r="377" spans="1:13" ht="33.75" x14ac:dyDescent="0.25">
      <c r="A377" s="5" t="s">
        <v>419</v>
      </c>
      <c r="B377" s="6" t="s">
        <v>420</v>
      </c>
      <c r="C377" s="6" t="s">
        <v>15</v>
      </c>
      <c r="D377" s="6" t="s">
        <v>16</v>
      </c>
      <c r="E377" s="6" t="s">
        <v>3</v>
      </c>
      <c r="F377" s="6" t="s">
        <v>17</v>
      </c>
      <c r="G377" s="5" t="s">
        <v>452</v>
      </c>
      <c r="H377" s="6" t="s">
        <v>54</v>
      </c>
      <c r="I377" s="7">
        <v>63420</v>
      </c>
      <c r="J377" s="6" t="s">
        <v>453</v>
      </c>
      <c r="K377" s="24">
        <v>10</v>
      </c>
      <c r="L377" s="22">
        <f>6.342*40.39*117.5809</f>
        <v>30118.744958441996</v>
      </c>
      <c r="M377" s="22">
        <f t="shared" ref="M377:M383" si="25">L377*0.3</f>
        <v>9035.623487532599</v>
      </c>
    </row>
    <row r="378" spans="1:13" ht="22.5" x14ac:dyDescent="0.25">
      <c r="A378" s="5" t="s">
        <v>419</v>
      </c>
      <c r="B378" s="6" t="s">
        <v>420</v>
      </c>
      <c r="C378" s="6" t="s">
        <v>15</v>
      </c>
      <c r="D378" s="6" t="s">
        <v>16</v>
      </c>
      <c r="E378" s="6" t="s">
        <v>3</v>
      </c>
      <c r="F378" s="6" t="s">
        <v>17</v>
      </c>
      <c r="G378" s="5" t="s">
        <v>454</v>
      </c>
      <c r="H378" s="6" t="s">
        <v>54</v>
      </c>
      <c r="I378" s="7">
        <v>43150</v>
      </c>
      <c r="J378" s="6" t="s">
        <v>372</v>
      </c>
      <c r="K378" s="24">
        <v>11</v>
      </c>
      <c r="L378" s="19">
        <f>4.315*40.39*117.5809</f>
        <v>20492.334357565003</v>
      </c>
      <c r="M378" s="19">
        <f t="shared" si="25"/>
        <v>6147.7003072695006</v>
      </c>
    </row>
    <row r="379" spans="1:13" ht="22.5" x14ac:dyDescent="0.25">
      <c r="A379" s="41" t="s">
        <v>419</v>
      </c>
      <c r="B379" s="42" t="s">
        <v>420</v>
      </c>
      <c r="C379" s="42" t="s">
        <v>15</v>
      </c>
      <c r="D379" s="42" t="s">
        <v>16</v>
      </c>
      <c r="E379" s="42" t="s">
        <v>3</v>
      </c>
      <c r="F379" s="42" t="s">
        <v>17</v>
      </c>
      <c r="G379" s="41" t="s">
        <v>152</v>
      </c>
      <c r="H379" s="42" t="s">
        <v>54</v>
      </c>
      <c r="I379" s="43">
        <v>14155</v>
      </c>
      <c r="J379" s="42" t="s">
        <v>372</v>
      </c>
      <c r="K379" s="24">
        <v>12</v>
      </c>
      <c r="L379" s="22">
        <f>1.4155*40.39*117.5809</f>
        <v>6722.3405059404995</v>
      </c>
      <c r="M379" s="22">
        <f t="shared" si="25"/>
        <v>2016.7021517821497</v>
      </c>
    </row>
    <row r="380" spans="1:13" ht="22.5" x14ac:dyDescent="0.25">
      <c r="A380" s="5" t="s">
        <v>419</v>
      </c>
      <c r="B380" s="6" t="s">
        <v>420</v>
      </c>
      <c r="C380" s="6" t="s">
        <v>15</v>
      </c>
      <c r="D380" s="6" t="s">
        <v>16</v>
      </c>
      <c r="E380" s="6" t="s">
        <v>3</v>
      </c>
      <c r="F380" s="6" t="s">
        <v>17</v>
      </c>
      <c r="G380" s="5" t="s">
        <v>455</v>
      </c>
      <c r="H380" s="6" t="s">
        <v>54</v>
      </c>
      <c r="I380" s="7">
        <v>9266</v>
      </c>
      <c r="J380" s="6" t="s">
        <v>372</v>
      </c>
      <c r="K380" s="26">
        <v>13</v>
      </c>
      <c r="L380" s="9">
        <f>0.9266*40.39*117.5809</f>
        <v>4400.5091577566</v>
      </c>
      <c r="M380" s="9">
        <f t="shared" si="25"/>
        <v>1320.15274732698</v>
      </c>
    </row>
    <row r="381" spans="1:13" ht="67.5" x14ac:dyDescent="0.25">
      <c r="A381" s="5" t="s">
        <v>419</v>
      </c>
      <c r="B381" s="6" t="s">
        <v>420</v>
      </c>
      <c r="C381" s="6" t="s">
        <v>15</v>
      </c>
      <c r="D381" s="6" t="s">
        <v>16</v>
      </c>
      <c r="E381" s="6" t="s">
        <v>3</v>
      </c>
      <c r="F381" s="6" t="s">
        <v>17</v>
      </c>
      <c r="G381" s="5" t="s">
        <v>456</v>
      </c>
      <c r="H381" s="6" t="s">
        <v>457</v>
      </c>
      <c r="I381" s="7">
        <v>2965</v>
      </c>
      <c r="J381" s="6" t="s">
        <v>458</v>
      </c>
      <c r="K381" s="60">
        <v>14</v>
      </c>
      <c r="L381" s="21">
        <f>0.2965*11.36*117.5809</f>
        <v>396.04069061599995</v>
      </c>
      <c r="M381" s="21">
        <f t="shared" si="25"/>
        <v>118.81220718479997</v>
      </c>
    </row>
    <row r="382" spans="1:13" ht="67.5" x14ac:dyDescent="0.25">
      <c r="A382" s="5" t="s">
        <v>419</v>
      </c>
      <c r="B382" s="6" t="s">
        <v>420</v>
      </c>
      <c r="C382" s="6" t="s">
        <v>15</v>
      </c>
      <c r="D382" s="6" t="s">
        <v>16</v>
      </c>
      <c r="E382" s="6" t="s">
        <v>3</v>
      </c>
      <c r="F382" s="6" t="s">
        <v>17</v>
      </c>
      <c r="G382" s="5" t="s">
        <v>459</v>
      </c>
      <c r="H382" s="6" t="s">
        <v>457</v>
      </c>
      <c r="I382" s="7">
        <v>1130</v>
      </c>
      <c r="J382" s="6" t="s">
        <v>458</v>
      </c>
      <c r="K382" s="61"/>
      <c r="L382" s="20">
        <f>0.113*11.36*117.5809</f>
        <v>150.93624971200001</v>
      </c>
      <c r="M382" s="20">
        <f t="shared" si="25"/>
        <v>45.280874913600002</v>
      </c>
    </row>
    <row r="383" spans="1:13" ht="67.5" x14ac:dyDescent="0.25">
      <c r="A383" s="5" t="s">
        <v>419</v>
      </c>
      <c r="B383" s="6" t="s">
        <v>420</v>
      </c>
      <c r="C383" s="6" t="s">
        <v>15</v>
      </c>
      <c r="D383" s="6" t="s">
        <v>16</v>
      </c>
      <c r="E383" s="6" t="s">
        <v>3</v>
      </c>
      <c r="F383" s="6" t="s">
        <v>17</v>
      </c>
      <c r="G383" s="5" t="s">
        <v>460</v>
      </c>
      <c r="H383" s="6" t="s">
        <v>457</v>
      </c>
      <c r="I383" s="7">
        <v>1134</v>
      </c>
      <c r="J383" s="6" t="s">
        <v>458</v>
      </c>
      <c r="K383" s="61"/>
      <c r="L383" s="21">
        <f>0.1134*11.36*117.5809</f>
        <v>151.47053732160001</v>
      </c>
      <c r="M383" s="21">
        <f t="shared" si="25"/>
        <v>45.441161196480003</v>
      </c>
    </row>
    <row r="384" spans="1:13" x14ac:dyDescent="0.25">
      <c r="A384" s="5"/>
      <c r="B384" s="6"/>
      <c r="C384" s="6"/>
      <c r="D384" s="6"/>
      <c r="E384" s="6"/>
      <c r="F384" s="6"/>
      <c r="G384" s="5"/>
      <c r="H384" s="13" t="s">
        <v>25</v>
      </c>
      <c r="I384" s="7">
        <f>SUM(I381:I383)</f>
        <v>5229</v>
      </c>
      <c r="J384" s="6"/>
      <c r="K384" s="62"/>
      <c r="L384" s="38">
        <f>SUM(L381:L383)</f>
        <v>698.44747764959993</v>
      </c>
      <c r="M384" s="38">
        <f>SUM(M381:M383)</f>
        <v>209.53424329487999</v>
      </c>
    </row>
    <row r="385" spans="1:17" ht="33.75" x14ac:dyDescent="0.25">
      <c r="A385" s="5" t="s">
        <v>419</v>
      </c>
      <c r="B385" s="6" t="s">
        <v>420</v>
      </c>
      <c r="C385" s="6" t="s">
        <v>15</v>
      </c>
      <c r="D385" s="6" t="s">
        <v>16</v>
      </c>
      <c r="E385" s="6" t="s">
        <v>3</v>
      </c>
      <c r="F385" s="6" t="s">
        <v>17</v>
      </c>
      <c r="G385" s="5" t="s">
        <v>461</v>
      </c>
      <c r="H385" s="6" t="s">
        <v>54</v>
      </c>
      <c r="I385" s="7">
        <v>18490</v>
      </c>
      <c r="J385" s="6" t="s">
        <v>453</v>
      </c>
      <c r="K385" s="60">
        <v>15</v>
      </c>
      <c r="L385" s="21">
        <f>1.849*40.39*117.5809</f>
        <v>8781.0721267990011</v>
      </c>
      <c r="M385" s="21">
        <f>L385*0.3</f>
        <v>2634.3216380397002</v>
      </c>
    </row>
    <row r="386" spans="1:17" ht="67.5" x14ac:dyDescent="0.25">
      <c r="A386" s="5" t="s">
        <v>419</v>
      </c>
      <c r="B386" s="6" t="s">
        <v>420</v>
      </c>
      <c r="C386" s="6" t="s">
        <v>15</v>
      </c>
      <c r="D386" s="6" t="s">
        <v>16</v>
      </c>
      <c r="E386" s="6" t="s">
        <v>3</v>
      </c>
      <c r="F386" s="6" t="s">
        <v>17</v>
      </c>
      <c r="G386" s="5" t="s">
        <v>462</v>
      </c>
      <c r="H386" s="6" t="s">
        <v>457</v>
      </c>
      <c r="I386" s="7">
        <v>1605</v>
      </c>
      <c r="J386" s="6" t="s">
        <v>344</v>
      </c>
      <c r="K386" s="61"/>
      <c r="L386" s="20">
        <f>0.1605*11.36*117.5809</f>
        <v>214.382903352</v>
      </c>
      <c r="M386" s="20">
        <f>L386*0.3</f>
        <v>64.314871005599997</v>
      </c>
    </row>
    <row r="387" spans="1:17" x14ac:dyDescent="0.25">
      <c r="A387" s="5"/>
      <c r="B387" s="6"/>
      <c r="C387" s="6"/>
      <c r="D387" s="6"/>
      <c r="E387" s="6"/>
      <c r="F387" s="6"/>
      <c r="G387" s="5"/>
      <c r="H387" s="13" t="s">
        <v>25</v>
      </c>
      <c r="I387" s="7">
        <f>SUM(I385:I386)</f>
        <v>20095</v>
      </c>
      <c r="J387" s="6"/>
      <c r="K387" s="62"/>
      <c r="L387" s="37">
        <f>SUM(L385:L386)</f>
        <v>8995.4550301510008</v>
      </c>
      <c r="M387" s="37">
        <f>SUM(M385:M386)</f>
        <v>2698.6365090453</v>
      </c>
    </row>
    <row r="388" spans="1:17" ht="33.75" x14ac:dyDescent="0.25">
      <c r="A388" s="5" t="s">
        <v>419</v>
      </c>
      <c r="B388" s="6" t="s">
        <v>420</v>
      </c>
      <c r="C388" s="6" t="s">
        <v>15</v>
      </c>
      <c r="D388" s="6" t="s">
        <v>16</v>
      </c>
      <c r="E388" s="6" t="s">
        <v>3</v>
      </c>
      <c r="F388" s="6" t="s">
        <v>17</v>
      </c>
      <c r="G388" s="5" t="s">
        <v>463</v>
      </c>
      <c r="H388" s="6" t="s">
        <v>28</v>
      </c>
      <c r="I388" s="7">
        <v>5252</v>
      </c>
      <c r="J388" s="6" t="s">
        <v>344</v>
      </c>
      <c r="K388" s="24">
        <v>16</v>
      </c>
      <c r="L388" s="22">
        <f>0.5252*255.26*117.5809</f>
        <v>15763.195520456798</v>
      </c>
      <c r="M388" s="22">
        <f t="shared" ref="M388:M395" si="26">L388*0.3</f>
        <v>4728.9586561370397</v>
      </c>
    </row>
    <row r="389" spans="1:17" ht="22.5" x14ac:dyDescent="0.25">
      <c r="A389" s="5" t="s">
        <v>419</v>
      </c>
      <c r="B389" s="6" t="s">
        <v>420</v>
      </c>
      <c r="C389" s="6" t="s">
        <v>15</v>
      </c>
      <c r="D389" s="6" t="s">
        <v>16</v>
      </c>
      <c r="E389" s="6" t="s">
        <v>3</v>
      </c>
      <c r="F389" s="6" t="s">
        <v>17</v>
      </c>
      <c r="G389" s="5" t="s">
        <v>464</v>
      </c>
      <c r="H389" s="6" t="s">
        <v>28</v>
      </c>
      <c r="I389" s="7">
        <v>2669</v>
      </c>
      <c r="J389" s="6" t="s">
        <v>372</v>
      </c>
      <c r="K389" s="24">
        <v>17</v>
      </c>
      <c r="L389" s="19">
        <f>0.2669*255.26*117.5809</f>
        <v>8010.6566725246003</v>
      </c>
      <c r="M389" s="19">
        <f t="shared" si="26"/>
        <v>2403.1970017573799</v>
      </c>
      <c r="N389" s="17"/>
    </row>
    <row r="390" spans="1:17" ht="22.5" x14ac:dyDescent="0.25">
      <c r="A390" s="5" t="s">
        <v>465</v>
      </c>
      <c r="B390" s="6" t="s">
        <v>466</v>
      </c>
      <c r="C390" s="6" t="s">
        <v>15</v>
      </c>
      <c r="D390" s="6" t="s">
        <v>16</v>
      </c>
      <c r="E390" s="6" t="s">
        <v>3</v>
      </c>
      <c r="F390" s="6" t="s">
        <v>17</v>
      </c>
      <c r="G390" s="5" t="s">
        <v>467</v>
      </c>
      <c r="H390" s="6" t="s">
        <v>59</v>
      </c>
      <c r="I390" s="7">
        <v>1539</v>
      </c>
      <c r="J390" s="6" t="s">
        <v>372</v>
      </c>
      <c r="K390" s="24">
        <v>1</v>
      </c>
      <c r="L390" s="22">
        <f>0.1539*45.44*117.5809</f>
        <v>822.26863117440007</v>
      </c>
      <c r="M390" s="22">
        <f t="shared" si="26"/>
        <v>246.68058935232</v>
      </c>
    </row>
    <row r="391" spans="1:17" ht="22.5" x14ac:dyDescent="0.25">
      <c r="A391" s="5" t="s">
        <v>465</v>
      </c>
      <c r="B391" s="6" t="s">
        <v>466</v>
      </c>
      <c r="C391" s="6" t="s">
        <v>15</v>
      </c>
      <c r="D391" s="6" t="s">
        <v>16</v>
      </c>
      <c r="E391" s="6" t="s">
        <v>3</v>
      </c>
      <c r="F391" s="6" t="s">
        <v>17</v>
      </c>
      <c r="G391" s="5" t="s">
        <v>468</v>
      </c>
      <c r="H391" s="6" t="s">
        <v>54</v>
      </c>
      <c r="I391" s="7">
        <v>41584</v>
      </c>
      <c r="J391" s="6" t="s">
        <v>469</v>
      </c>
      <c r="K391" s="24">
        <v>2</v>
      </c>
      <c r="L391" s="19">
        <f>4.1584*40.39*117.5809</f>
        <v>19748.626464078403</v>
      </c>
      <c r="M391" s="19">
        <f t="shared" si="26"/>
        <v>5924.5879392235211</v>
      </c>
    </row>
    <row r="392" spans="1:17" ht="22.5" x14ac:dyDescent="0.25">
      <c r="A392" s="5" t="s">
        <v>465</v>
      </c>
      <c r="B392" s="6" t="s">
        <v>466</v>
      </c>
      <c r="C392" s="6" t="s">
        <v>15</v>
      </c>
      <c r="D392" s="6" t="s">
        <v>16</v>
      </c>
      <c r="E392" s="6" t="s">
        <v>3</v>
      </c>
      <c r="F392" s="6" t="s">
        <v>17</v>
      </c>
      <c r="G392" s="5" t="s">
        <v>470</v>
      </c>
      <c r="H392" s="6" t="s">
        <v>59</v>
      </c>
      <c r="I392" s="7">
        <v>106289</v>
      </c>
      <c r="J392" s="6" t="s">
        <v>372</v>
      </c>
      <c r="K392" s="24">
        <v>3</v>
      </c>
      <c r="L392" s="9">
        <f>10.6289*45.44*117.5809</f>
        <v>56788.895736774393</v>
      </c>
      <c r="M392" s="9">
        <f t="shared" si="26"/>
        <v>17036.668721032318</v>
      </c>
    </row>
    <row r="393" spans="1:17" x14ac:dyDescent="0.25">
      <c r="A393" s="5" t="s">
        <v>465</v>
      </c>
      <c r="B393" s="6" t="s">
        <v>466</v>
      </c>
      <c r="C393" s="6" t="s">
        <v>15</v>
      </c>
      <c r="D393" s="6" t="s">
        <v>16</v>
      </c>
      <c r="E393" s="6" t="s">
        <v>3</v>
      </c>
      <c r="F393" s="6" t="s">
        <v>17</v>
      </c>
      <c r="G393" s="5" t="s">
        <v>471</v>
      </c>
      <c r="H393" s="6" t="s">
        <v>57</v>
      </c>
      <c r="I393" s="7">
        <v>5992</v>
      </c>
      <c r="J393" s="6" t="s">
        <v>372</v>
      </c>
      <c r="K393" s="60">
        <v>4</v>
      </c>
      <c r="L393" s="21">
        <f>0.5992*11.36*117.5809</f>
        <v>800.36283918079982</v>
      </c>
      <c r="M393" s="21">
        <f t="shared" si="26"/>
        <v>240.10885175423994</v>
      </c>
    </row>
    <row r="394" spans="1:17" x14ac:dyDescent="0.25">
      <c r="A394" s="5" t="s">
        <v>465</v>
      </c>
      <c r="B394" s="6" t="s">
        <v>466</v>
      </c>
      <c r="C394" s="6" t="s">
        <v>15</v>
      </c>
      <c r="D394" s="6" t="s">
        <v>16</v>
      </c>
      <c r="E394" s="6" t="s">
        <v>3</v>
      </c>
      <c r="F394" s="6" t="s">
        <v>17</v>
      </c>
      <c r="G394" s="5" t="s">
        <v>472</v>
      </c>
      <c r="H394" s="6" t="s">
        <v>57</v>
      </c>
      <c r="I394" s="7">
        <v>992</v>
      </c>
      <c r="J394" s="6" t="s">
        <v>372</v>
      </c>
      <c r="K394" s="61"/>
      <c r="L394" s="20">
        <f>0.0992*11.36*117.5809</f>
        <v>132.5033271808</v>
      </c>
      <c r="M394" s="20">
        <f t="shared" si="26"/>
        <v>39.750998154240001</v>
      </c>
    </row>
    <row r="395" spans="1:17" x14ac:dyDescent="0.25">
      <c r="A395" s="5" t="s">
        <v>465</v>
      </c>
      <c r="B395" s="6" t="s">
        <v>466</v>
      </c>
      <c r="C395" s="6" t="s">
        <v>15</v>
      </c>
      <c r="D395" s="6" t="s">
        <v>16</v>
      </c>
      <c r="E395" s="6" t="s">
        <v>3</v>
      </c>
      <c r="F395" s="6" t="s">
        <v>17</v>
      </c>
      <c r="G395" s="5" t="s">
        <v>473</v>
      </c>
      <c r="H395" s="6" t="s">
        <v>57</v>
      </c>
      <c r="I395" s="7">
        <v>353</v>
      </c>
      <c r="J395" s="6" t="s">
        <v>372</v>
      </c>
      <c r="K395" s="61"/>
      <c r="L395" s="21">
        <f>0.0353*11.36*117.5809</f>
        <v>47.150881547199994</v>
      </c>
      <c r="M395" s="21">
        <f t="shared" si="26"/>
        <v>14.145264464159998</v>
      </c>
      <c r="N395" s="17"/>
      <c r="O395" s="17"/>
      <c r="P395" s="17"/>
      <c r="Q395" s="17"/>
    </row>
    <row r="396" spans="1:17" x14ac:dyDescent="0.25">
      <c r="A396" s="5"/>
      <c r="B396" s="6"/>
      <c r="C396" s="6"/>
      <c r="D396" s="6"/>
      <c r="E396" s="6"/>
      <c r="F396" s="6"/>
      <c r="G396" s="5"/>
      <c r="H396" s="13" t="s">
        <v>25</v>
      </c>
      <c r="I396" s="7">
        <f>+SUM(I393:I395)</f>
        <v>7337</v>
      </c>
      <c r="J396" s="6"/>
      <c r="K396" s="62"/>
      <c r="L396" s="38">
        <f>SUM(L393:L395)</f>
        <v>980.0170479087999</v>
      </c>
      <c r="M396" s="38">
        <f>SUM(M393:M395)</f>
        <v>294.00511437263992</v>
      </c>
    </row>
    <row r="397" spans="1:17" ht="33.75" x14ac:dyDescent="0.25">
      <c r="A397" s="5" t="s">
        <v>474</v>
      </c>
      <c r="B397" s="6" t="s">
        <v>475</v>
      </c>
      <c r="C397" s="6" t="s">
        <v>15</v>
      </c>
      <c r="D397" s="6" t="s">
        <v>16</v>
      </c>
      <c r="E397" s="6" t="s">
        <v>3</v>
      </c>
      <c r="F397" s="6" t="s">
        <v>17</v>
      </c>
      <c r="G397" s="5" t="s">
        <v>118</v>
      </c>
      <c r="H397" s="6" t="s">
        <v>24</v>
      </c>
      <c r="I397" s="7">
        <v>927</v>
      </c>
      <c r="J397" s="6" t="s">
        <v>104</v>
      </c>
      <c r="K397" s="60">
        <v>1</v>
      </c>
      <c r="L397" s="21">
        <f>0.0927*227.21*117.5809</f>
        <v>2476.5320679903002</v>
      </c>
      <c r="M397" s="21">
        <f t="shared" ref="M397:M402" si="27">L397*0.3</f>
        <v>742.95962039709002</v>
      </c>
    </row>
    <row r="398" spans="1:17" ht="33.75" x14ac:dyDescent="0.25">
      <c r="A398" s="5" t="s">
        <v>474</v>
      </c>
      <c r="B398" s="6" t="s">
        <v>475</v>
      </c>
      <c r="C398" s="6" t="s">
        <v>15</v>
      </c>
      <c r="D398" s="6" t="s">
        <v>16</v>
      </c>
      <c r="E398" s="6" t="s">
        <v>3</v>
      </c>
      <c r="F398" s="6" t="s">
        <v>17</v>
      </c>
      <c r="G398" s="5" t="s">
        <v>476</v>
      </c>
      <c r="H398" s="6" t="s">
        <v>24</v>
      </c>
      <c r="I398" s="7">
        <v>985</v>
      </c>
      <c r="J398" s="6" t="s">
        <v>104</v>
      </c>
      <c r="K398" s="61"/>
      <c r="L398" s="20">
        <f>0.0985*227.21*117.5809</f>
        <v>2631.4822944665002</v>
      </c>
      <c r="M398" s="20">
        <f t="shared" si="27"/>
        <v>789.44468833995006</v>
      </c>
    </row>
    <row r="399" spans="1:17" ht="33.75" x14ac:dyDescent="0.25">
      <c r="A399" s="5" t="s">
        <v>474</v>
      </c>
      <c r="B399" s="6" t="s">
        <v>475</v>
      </c>
      <c r="C399" s="6" t="s">
        <v>15</v>
      </c>
      <c r="D399" s="6" t="s">
        <v>16</v>
      </c>
      <c r="E399" s="6" t="s">
        <v>3</v>
      </c>
      <c r="F399" s="6" t="s">
        <v>17</v>
      </c>
      <c r="G399" s="5" t="s">
        <v>53</v>
      </c>
      <c r="H399" s="6" t="s">
        <v>24</v>
      </c>
      <c r="I399" s="7">
        <v>967</v>
      </c>
      <c r="J399" s="6" t="s">
        <v>104</v>
      </c>
      <c r="K399" s="61"/>
      <c r="L399" s="21">
        <f>0.0967*227.21*117.5809</f>
        <v>2583.3942931462998</v>
      </c>
      <c r="M399" s="21">
        <f t="shared" si="27"/>
        <v>775.01828794388996</v>
      </c>
    </row>
    <row r="400" spans="1:17" ht="33.75" x14ac:dyDescent="0.25">
      <c r="A400" s="5" t="s">
        <v>474</v>
      </c>
      <c r="B400" s="6" t="s">
        <v>475</v>
      </c>
      <c r="C400" s="6" t="s">
        <v>15</v>
      </c>
      <c r="D400" s="6" t="s">
        <v>16</v>
      </c>
      <c r="E400" s="6" t="s">
        <v>3</v>
      </c>
      <c r="F400" s="6" t="s">
        <v>17</v>
      </c>
      <c r="G400" s="5" t="s">
        <v>56</v>
      </c>
      <c r="H400" s="6" t="s">
        <v>24</v>
      </c>
      <c r="I400" s="7">
        <v>847</v>
      </c>
      <c r="J400" s="6" t="s">
        <v>104</v>
      </c>
      <c r="K400" s="61"/>
      <c r="L400" s="20">
        <f>0.0847*227.21*117.5809</f>
        <v>2262.8076176782997</v>
      </c>
      <c r="M400" s="20">
        <f t="shared" si="27"/>
        <v>678.84228530348992</v>
      </c>
    </row>
    <row r="401" spans="1:13" ht="33.75" x14ac:dyDescent="0.25">
      <c r="A401" s="5" t="s">
        <v>474</v>
      </c>
      <c r="B401" s="6" t="s">
        <v>475</v>
      </c>
      <c r="C401" s="6" t="s">
        <v>15</v>
      </c>
      <c r="D401" s="6" t="s">
        <v>16</v>
      </c>
      <c r="E401" s="6" t="s">
        <v>3</v>
      </c>
      <c r="F401" s="6" t="s">
        <v>17</v>
      </c>
      <c r="G401" s="5" t="s">
        <v>477</v>
      </c>
      <c r="H401" s="6" t="s">
        <v>24</v>
      </c>
      <c r="I401" s="7">
        <v>796</v>
      </c>
      <c r="J401" s="6" t="s">
        <v>104</v>
      </c>
      <c r="K401" s="61"/>
      <c r="L401" s="21">
        <f>0.0796*227.21*117.5809</f>
        <v>2126.5582806043999</v>
      </c>
      <c r="M401" s="21">
        <f t="shared" si="27"/>
        <v>637.96748418131995</v>
      </c>
    </row>
    <row r="402" spans="1:13" ht="33.75" x14ac:dyDescent="0.25">
      <c r="A402" s="5" t="s">
        <v>474</v>
      </c>
      <c r="B402" s="6" t="s">
        <v>475</v>
      </c>
      <c r="C402" s="6" t="s">
        <v>15</v>
      </c>
      <c r="D402" s="6" t="s">
        <v>16</v>
      </c>
      <c r="E402" s="6" t="s">
        <v>3</v>
      </c>
      <c r="F402" s="6" t="s">
        <v>17</v>
      </c>
      <c r="G402" s="5" t="s">
        <v>478</v>
      </c>
      <c r="H402" s="6" t="s">
        <v>24</v>
      </c>
      <c r="I402" s="7">
        <v>830</v>
      </c>
      <c r="J402" s="6" t="s">
        <v>104</v>
      </c>
      <c r="K402" s="61"/>
      <c r="L402" s="20">
        <f>0.083*227.21*117.5809</f>
        <v>2217.3911719870002</v>
      </c>
      <c r="M402" s="20">
        <f t="shared" si="27"/>
        <v>665.2173515961</v>
      </c>
    </row>
    <row r="403" spans="1:13" x14ac:dyDescent="0.25">
      <c r="A403" s="5"/>
      <c r="B403" s="6"/>
      <c r="C403" s="6"/>
      <c r="D403" s="6"/>
      <c r="E403" s="6"/>
      <c r="F403" s="6"/>
      <c r="G403" s="5"/>
      <c r="H403" s="13" t="s">
        <v>25</v>
      </c>
      <c r="I403" s="7">
        <f>SUM(I397:I402)</f>
        <v>5352</v>
      </c>
      <c r="J403" s="6"/>
      <c r="K403" s="62"/>
      <c r="L403" s="37">
        <f>SUM(L397:L402)</f>
        <v>14298.165725872801</v>
      </c>
      <c r="M403" s="37">
        <f>SUM(M397:M402)</f>
        <v>4289.4497177618396</v>
      </c>
    </row>
    <row r="404" spans="1:13" ht="45" x14ac:dyDescent="0.25">
      <c r="A404" s="5" t="s">
        <v>474</v>
      </c>
      <c r="B404" s="6" t="s">
        <v>475</v>
      </c>
      <c r="C404" s="6" t="s">
        <v>15</v>
      </c>
      <c r="D404" s="6" t="s">
        <v>16</v>
      </c>
      <c r="E404" s="6" t="s">
        <v>3</v>
      </c>
      <c r="F404" s="6" t="s">
        <v>17</v>
      </c>
      <c r="G404" s="5" t="s">
        <v>479</v>
      </c>
      <c r="H404" s="6" t="s">
        <v>28</v>
      </c>
      <c r="I404" s="7">
        <v>469</v>
      </c>
      <c r="J404" s="6" t="s">
        <v>480</v>
      </c>
      <c r="K404" s="60">
        <v>2</v>
      </c>
      <c r="L404" s="20">
        <f>0.0469*255.26*117.5809</f>
        <v>1407.6425550445999</v>
      </c>
      <c r="M404" s="20">
        <f>L404*0.3</f>
        <v>422.29276651337995</v>
      </c>
    </row>
    <row r="405" spans="1:13" ht="45" x14ac:dyDescent="0.25">
      <c r="A405" s="5" t="s">
        <v>474</v>
      </c>
      <c r="B405" s="6" t="s">
        <v>475</v>
      </c>
      <c r="C405" s="6" t="s">
        <v>15</v>
      </c>
      <c r="D405" s="6" t="s">
        <v>16</v>
      </c>
      <c r="E405" s="6" t="s">
        <v>3</v>
      </c>
      <c r="F405" s="6" t="s">
        <v>17</v>
      </c>
      <c r="G405" s="5" t="s">
        <v>481</v>
      </c>
      <c r="H405" s="6" t="s">
        <v>28</v>
      </c>
      <c r="I405" s="7">
        <v>113</v>
      </c>
      <c r="J405" s="6" t="s">
        <v>480</v>
      </c>
      <c r="K405" s="61"/>
      <c r="L405" s="21">
        <f>0.0113*255.26*117.5809</f>
        <v>339.1548160342</v>
      </c>
      <c r="M405" s="21">
        <f>L405*0.3</f>
        <v>101.74644481026</v>
      </c>
    </row>
    <row r="406" spans="1:13" ht="45" x14ac:dyDescent="0.25">
      <c r="A406" s="5" t="s">
        <v>474</v>
      </c>
      <c r="B406" s="6" t="s">
        <v>475</v>
      </c>
      <c r="C406" s="6" t="s">
        <v>15</v>
      </c>
      <c r="D406" s="6" t="s">
        <v>16</v>
      </c>
      <c r="E406" s="6" t="s">
        <v>3</v>
      </c>
      <c r="F406" s="6" t="s">
        <v>17</v>
      </c>
      <c r="G406" s="5" t="s">
        <v>482</v>
      </c>
      <c r="H406" s="6" t="s">
        <v>28</v>
      </c>
      <c r="I406" s="7">
        <v>40</v>
      </c>
      <c r="J406" s="6" t="s">
        <v>480</v>
      </c>
      <c r="K406" s="61"/>
      <c r="L406" s="20">
        <f>0.004*255.26*117.5809</f>
        <v>120.05480213599999</v>
      </c>
      <c r="M406" s="20">
        <f>L406*0.3</f>
        <v>36.016440640799999</v>
      </c>
    </row>
    <row r="407" spans="1:13" x14ac:dyDescent="0.25">
      <c r="A407" s="5"/>
      <c r="B407" s="6"/>
      <c r="C407" s="6"/>
      <c r="D407" s="6"/>
      <c r="E407" s="6"/>
      <c r="F407" s="6"/>
      <c r="G407" s="5"/>
      <c r="H407" s="13" t="s">
        <v>25</v>
      </c>
      <c r="I407" s="7">
        <f>SUM(I404:I406)</f>
        <v>622</v>
      </c>
      <c r="J407" s="6"/>
      <c r="K407" s="62"/>
      <c r="L407" s="37">
        <f>SUM(L404:L406)</f>
        <v>1866.8521732147999</v>
      </c>
      <c r="M407" s="37">
        <f>SUM(M404:M406)</f>
        <v>560.0556519644399</v>
      </c>
    </row>
    <row r="408" spans="1:13" ht="45" x14ac:dyDescent="0.25">
      <c r="A408" s="5" t="s">
        <v>474</v>
      </c>
      <c r="B408" s="6" t="s">
        <v>475</v>
      </c>
      <c r="C408" s="6" t="s">
        <v>15</v>
      </c>
      <c r="D408" s="6" t="s">
        <v>16</v>
      </c>
      <c r="E408" s="6" t="s">
        <v>3</v>
      </c>
      <c r="F408" s="6" t="s">
        <v>17</v>
      </c>
      <c r="G408" s="5" t="s">
        <v>483</v>
      </c>
      <c r="H408" s="6" t="s">
        <v>28</v>
      </c>
      <c r="I408" s="7">
        <v>847</v>
      </c>
      <c r="J408" s="6" t="s">
        <v>480</v>
      </c>
      <c r="K408" s="24">
        <v>3</v>
      </c>
      <c r="L408" s="22">
        <f>0.0847*255.26*117.5809</f>
        <v>2542.1604352297995</v>
      </c>
      <c r="M408" s="22">
        <f>L408*0.3</f>
        <v>762.64813056893979</v>
      </c>
    </row>
    <row r="409" spans="1:13" ht="45" x14ac:dyDescent="0.25">
      <c r="A409" s="5" t="s">
        <v>474</v>
      </c>
      <c r="B409" s="6" t="s">
        <v>475</v>
      </c>
      <c r="C409" s="6" t="s">
        <v>15</v>
      </c>
      <c r="D409" s="6" t="s">
        <v>16</v>
      </c>
      <c r="E409" s="6" t="s">
        <v>3</v>
      </c>
      <c r="F409" s="6" t="s">
        <v>17</v>
      </c>
      <c r="G409" s="5" t="s">
        <v>484</v>
      </c>
      <c r="H409" s="6" t="s">
        <v>179</v>
      </c>
      <c r="I409" s="7">
        <v>386</v>
      </c>
      <c r="J409" s="6" t="s">
        <v>480</v>
      </c>
      <c r="K409" s="60">
        <v>4</v>
      </c>
      <c r="L409" s="21">
        <f>0.0386*280.51*117.5809</f>
        <v>1273.1290647973999</v>
      </c>
      <c r="M409" s="21">
        <f>L409*0.3</f>
        <v>381.93871943921994</v>
      </c>
    </row>
    <row r="410" spans="1:13" ht="45" x14ac:dyDescent="0.25">
      <c r="A410" s="5" t="s">
        <v>474</v>
      </c>
      <c r="B410" s="6" t="s">
        <v>475</v>
      </c>
      <c r="C410" s="6" t="s">
        <v>15</v>
      </c>
      <c r="D410" s="6" t="s">
        <v>16</v>
      </c>
      <c r="E410" s="6" t="s">
        <v>3</v>
      </c>
      <c r="F410" s="6" t="s">
        <v>17</v>
      </c>
      <c r="G410" s="5" t="s">
        <v>485</v>
      </c>
      <c r="H410" s="6" t="s">
        <v>179</v>
      </c>
      <c r="I410" s="7">
        <v>871</v>
      </c>
      <c r="J410" s="6" t="s">
        <v>480</v>
      </c>
      <c r="K410" s="61"/>
      <c r="L410" s="20">
        <f>0.0871*280.51*117.5809</f>
        <v>2872.7860503589</v>
      </c>
      <c r="M410" s="20">
        <f>L410*0.3</f>
        <v>861.83581510766999</v>
      </c>
    </row>
    <row r="411" spans="1:13" ht="45" x14ac:dyDescent="0.25">
      <c r="A411" s="5" t="s">
        <v>474</v>
      </c>
      <c r="B411" s="6" t="s">
        <v>475</v>
      </c>
      <c r="C411" s="6" t="s">
        <v>15</v>
      </c>
      <c r="D411" s="6" t="s">
        <v>16</v>
      </c>
      <c r="E411" s="6" t="s">
        <v>3</v>
      </c>
      <c r="F411" s="6" t="s">
        <v>17</v>
      </c>
      <c r="G411" s="5" t="s">
        <v>486</v>
      </c>
      <c r="H411" s="6" t="s">
        <v>179</v>
      </c>
      <c r="I411" s="7">
        <v>871</v>
      </c>
      <c r="J411" s="6" t="s">
        <v>480</v>
      </c>
      <c r="K411" s="61"/>
      <c r="L411" s="21">
        <f>0.0871*280.51*117.5809</f>
        <v>2872.7860503589</v>
      </c>
      <c r="M411" s="21">
        <f>L411*0.3</f>
        <v>861.83581510766999</v>
      </c>
    </row>
    <row r="412" spans="1:13" x14ac:dyDescent="0.25">
      <c r="A412" s="5"/>
      <c r="B412" s="6"/>
      <c r="C412" s="6"/>
      <c r="D412" s="6"/>
      <c r="E412" s="6"/>
      <c r="F412" s="6"/>
      <c r="G412" s="5"/>
      <c r="H412" s="13" t="s">
        <v>25</v>
      </c>
      <c r="I412" s="7">
        <f>SUM(I409:I411)</f>
        <v>2128</v>
      </c>
      <c r="J412" s="6"/>
      <c r="K412" s="62"/>
      <c r="L412" s="38">
        <f>SUM(L409:L411)</f>
        <v>7018.7011655152</v>
      </c>
      <c r="M412" s="38">
        <f>SUM(M409:M411)</f>
        <v>2105.6103496545602</v>
      </c>
    </row>
    <row r="413" spans="1:13" ht="45" x14ac:dyDescent="0.25">
      <c r="A413" s="5" t="s">
        <v>474</v>
      </c>
      <c r="B413" s="6" t="s">
        <v>475</v>
      </c>
      <c r="C413" s="6" t="s">
        <v>15</v>
      </c>
      <c r="D413" s="6" t="s">
        <v>16</v>
      </c>
      <c r="E413" s="6" t="s">
        <v>3</v>
      </c>
      <c r="F413" s="6" t="s">
        <v>17</v>
      </c>
      <c r="G413" s="5" t="s">
        <v>487</v>
      </c>
      <c r="H413" s="6" t="s">
        <v>179</v>
      </c>
      <c r="I413" s="7">
        <v>413</v>
      </c>
      <c r="J413" s="6" t="s">
        <v>480</v>
      </c>
      <c r="K413" s="60">
        <v>5</v>
      </c>
      <c r="L413" s="21">
        <f>0.0413*280.51*117.5809</f>
        <v>1362.1821340966999</v>
      </c>
      <c r="M413" s="21">
        <f>L413*0.3</f>
        <v>408.65464022900994</v>
      </c>
    </row>
    <row r="414" spans="1:13" ht="45" x14ac:dyDescent="0.25">
      <c r="A414" s="5" t="s">
        <v>474</v>
      </c>
      <c r="B414" s="6" t="s">
        <v>475</v>
      </c>
      <c r="C414" s="6" t="s">
        <v>15</v>
      </c>
      <c r="D414" s="6" t="s">
        <v>16</v>
      </c>
      <c r="E414" s="6" t="s">
        <v>3</v>
      </c>
      <c r="F414" s="6" t="s">
        <v>17</v>
      </c>
      <c r="G414" s="5" t="s">
        <v>488</v>
      </c>
      <c r="H414" s="6" t="s">
        <v>179</v>
      </c>
      <c r="I414" s="7">
        <v>417</v>
      </c>
      <c r="J414" s="6" t="s">
        <v>480</v>
      </c>
      <c r="K414" s="61"/>
      <c r="L414" s="20">
        <f>0.0417*280.51*117.5809</f>
        <v>1375.3751814003001</v>
      </c>
      <c r="M414" s="20">
        <f>L414*0.3</f>
        <v>412.61255442009002</v>
      </c>
    </row>
    <row r="415" spans="1:13" ht="45" x14ac:dyDescent="0.25">
      <c r="A415" s="5" t="s">
        <v>474</v>
      </c>
      <c r="B415" s="6" t="s">
        <v>475</v>
      </c>
      <c r="C415" s="6" t="s">
        <v>15</v>
      </c>
      <c r="D415" s="6" t="s">
        <v>16</v>
      </c>
      <c r="E415" s="6" t="s">
        <v>3</v>
      </c>
      <c r="F415" s="6" t="s">
        <v>17</v>
      </c>
      <c r="G415" s="5" t="s">
        <v>489</v>
      </c>
      <c r="H415" s="6" t="s">
        <v>179</v>
      </c>
      <c r="I415" s="7">
        <v>202</v>
      </c>
      <c r="J415" s="6" t="s">
        <v>480</v>
      </c>
      <c r="K415" s="61"/>
      <c r="L415" s="21">
        <f>0.0202*280.51*117.5809</f>
        <v>666.24888883179995</v>
      </c>
      <c r="M415" s="21">
        <f>L415*0.3</f>
        <v>199.87466664953999</v>
      </c>
    </row>
    <row r="416" spans="1:13" x14ac:dyDescent="0.25">
      <c r="A416" s="5"/>
      <c r="B416" s="6"/>
      <c r="C416" s="6"/>
      <c r="D416" s="6"/>
      <c r="E416" s="6"/>
      <c r="F416" s="6"/>
      <c r="G416" s="5"/>
      <c r="H416" s="13" t="s">
        <v>25</v>
      </c>
      <c r="I416" s="7">
        <f>SUM(I413:I415)</f>
        <v>1032</v>
      </c>
      <c r="J416" s="6"/>
      <c r="K416" s="62"/>
      <c r="L416" s="38">
        <f>SUM(L413:L415)</f>
        <v>3403.8062043287996</v>
      </c>
      <c r="M416" s="38">
        <f>SUM(M413:M415)</f>
        <v>1021.14186129864</v>
      </c>
    </row>
    <row r="417" spans="1:14" ht="45" x14ac:dyDescent="0.25">
      <c r="A417" s="5" t="s">
        <v>474</v>
      </c>
      <c r="B417" s="6" t="s">
        <v>475</v>
      </c>
      <c r="C417" s="6" t="s">
        <v>15</v>
      </c>
      <c r="D417" s="6" t="s">
        <v>16</v>
      </c>
      <c r="E417" s="6" t="s">
        <v>3</v>
      </c>
      <c r="F417" s="6" t="s">
        <v>17</v>
      </c>
      <c r="G417" s="5" t="s">
        <v>490</v>
      </c>
      <c r="H417" s="6" t="s">
        <v>179</v>
      </c>
      <c r="I417" s="7">
        <v>202</v>
      </c>
      <c r="J417" s="6" t="s">
        <v>480</v>
      </c>
      <c r="K417" s="24">
        <v>6</v>
      </c>
      <c r="L417" s="19">
        <f>0.0202*280.51*117.5809</f>
        <v>666.24888883179995</v>
      </c>
      <c r="M417" s="19">
        <f>L417*0.3</f>
        <v>199.87466664953999</v>
      </c>
    </row>
    <row r="418" spans="1:14" ht="22.5" x14ac:dyDescent="0.25">
      <c r="A418" s="5" t="s">
        <v>474</v>
      </c>
      <c r="B418" s="6" t="s">
        <v>475</v>
      </c>
      <c r="C418" s="6" t="s">
        <v>15</v>
      </c>
      <c r="D418" s="6" t="s">
        <v>16</v>
      </c>
      <c r="E418" s="6" t="s">
        <v>3</v>
      </c>
      <c r="F418" s="6" t="s">
        <v>17</v>
      </c>
      <c r="G418" s="5" t="s">
        <v>491</v>
      </c>
      <c r="H418" s="6" t="s">
        <v>24</v>
      </c>
      <c r="I418" s="7">
        <v>807</v>
      </c>
      <c r="J418" s="6" t="s">
        <v>372</v>
      </c>
      <c r="K418" s="24">
        <v>7</v>
      </c>
      <c r="L418" s="22">
        <f>0.0807*227.21*117.5809</f>
        <v>2155.9453925222997</v>
      </c>
      <c r="M418" s="22">
        <f>L418*0.3</f>
        <v>646.78361775668986</v>
      </c>
    </row>
    <row r="419" spans="1:14" ht="33.75" x14ac:dyDescent="0.25">
      <c r="A419" s="5" t="s">
        <v>474</v>
      </c>
      <c r="B419" s="6" t="s">
        <v>475</v>
      </c>
      <c r="C419" s="6" t="s">
        <v>15</v>
      </c>
      <c r="D419" s="6" t="s">
        <v>16</v>
      </c>
      <c r="E419" s="6" t="s">
        <v>3</v>
      </c>
      <c r="F419" s="6" t="s">
        <v>17</v>
      </c>
      <c r="G419" s="5" t="s">
        <v>492</v>
      </c>
      <c r="H419" s="6" t="s">
        <v>24</v>
      </c>
      <c r="I419" s="7">
        <v>327</v>
      </c>
      <c r="J419" s="6" t="s">
        <v>493</v>
      </c>
      <c r="K419" s="60">
        <v>8</v>
      </c>
      <c r="L419" s="21">
        <f>0.0327*227.21*117.5809</f>
        <v>873.5986906503</v>
      </c>
      <c r="M419" s="21">
        <f>L419*0.3</f>
        <v>262.07960719508998</v>
      </c>
    </row>
    <row r="420" spans="1:14" ht="33.75" x14ac:dyDescent="0.25">
      <c r="A420" s="44" t="s">
        <v>474</v>
      </c>
      <c r="B420" s="4" t="s">
        <v>475</v>
      </c>
      <c r="C420" s="4" t="s">
        <v>15</v>
      </c>
      <c r="D420" s="4" t="s">
        <v>16</v>
      </c>
      <c r="E420" s="4" t="s">
        <v>3</v>
      </c>
      <c r="F420" s="4" t="s">
        <v>17</v>
      </c>
      <c r="G420" s="44" t="s">
        <v>494</v>
      </c>
      <c r="H420" s="4" t="s">
        <v>24</v>
      </c>
      <c r="I420" s="45">
        <v>439</v>
      </c>
      <c r="J420" s="4" t="s">
        <v>493</v>
      </c>
      <c r="K420" s="61"/>
      <c r="L420" s="20">
        <f>0.0439*227.21*117.5809</f>
        <v>1172.8129210871</v>
      </c>
      <c r="M420" s="20">
        <f>L420*0.3</f>
        <v>351.84387632612999</v>
      </c>
      <c r="N420" s="17"/>
    </row>
    <row r="421" spans="1:14" x14ac:dyDescent="0.25">
      <c r="A421" s="46"/>
      <c r="B421" s="47"/>
      <c r="C421" s="47"/>
      <c r="D421" s="46"/>
      <c r="E421" s="47"/>
      <c r="F421" s="46"/>
      <c r="G421" s="47"/>
      <c r="H421" s="13" t="s">
        <v>25</v>
      </c>
      <c r="I421" s="48">
        <f>+SUM(I419:I420)</f>
        <v>766</v>
      </c>
      <c r="J421" s="47"/>
      <c r="K421" s="62"/>
      <c r="L421" s="19">
        <f>+SUM(L419:L420)</f>
        <v>2046.4116117374001</v>
      </c>
      <c r="M421" s="19">
        <f>+SUM(M419:M420)</f>
        <v>613.92348352121996</v>
      </c>
    </row>
    <row r="422" spans="1:14" ht="33.75" x14ac:dyDescent="0.25">
      <c r="A422" s="5" t="s">
        <v>495</v>
      </c>
      <c r="B422" s="6" t="s">
        <v>496</v>
      </c>
      <c r="C422" s="6" t="s">
        <v>15</v>
      </c>
      <c r="D422" s="6" t="s">
        <v>16</v>
      </c>
      <c r="E422" s="6" t="s">
        <v>3</v>
      </c>
      <c r="F422" s="6" t="s">
        <v>17</v>
      </c>
      <c r="G422" s="5" t="s">
        <v>497</v>
      </c>
      <c r="H422" s="6" t="s">
        <v>125</v>
      </c>
      <c r="I422" s="7">
        <v>10654</v>
      </c>
      <c r="J422" s="6" t="s">
        <v>498</v>
      </c>
      <c r="K422" s="24">
        <v>1</v>
      </c>
      <c r="L422" s="22">
        <f>1.0654*201.96*117.5809</f>
        <v>25299.668726085598</v>
      </c>
      <c r="M422" s="22">
        <f t="shared" ref="M422:M442" si="28">L422*0.3</f>
        <v>7589.9006178256786</v>
      </c>
    </row>
    <row r="423" spans="1:14" ht="22.5" x14ac:dyDescent="0.25">
      <c r="A423" s="5" t="s">
        <v>495</v>
      </c>
      <c r="B423" s="6" t="s">
        <v>499</v>
      </c>
      <c r="C423" s="6" t="s">
        <v>15</v>
      </c>
      <c r="D423" s="6" t="s">
        <v>16</v>
      </c>
      <c r="E423" s="6" t="s">
        <v>3</v>
      </c>
      <c r="F423" s="6" t="s">
        <v>17</v>
      </c>
      <c r="G423" s="5" t="s">
        <v>500</v>
      </c>
      <c r="H423" s="6" t="s">
        <v>19</v>
      </c>
      <c r="I423" s="7">
        <v>1307</v>
      </c>
      <c r="J423" s="6" t="s">
        <v>501</v>
      </c>
      <c r="K423" s="24">
        <v>2</v>
      </c>
      <c r="L423" s="19">
        <f>0.1307*68.16*117.5809</f>
        <v>1047.4708586208001</v>
      </c>
      <c r="M423" s="19">
        <f t="shared" si="28"/>
        <v>314.24125758624001</v>
      </c>
    </row>
    <row r="424" spans="1:14" ht="22.5" x14ac:dyDescent="0.25">
      <c r="A424" s="5" t="s">
        <v>495</v>
      </c>
      <c r="B424" s="6" t="s">
        <v>502</v>
      </c>
      <c r="C424" s="6" t="s">
        <v>15</v>
      </c>
      <c r="D424" s="6" t="s">
        <v>16</v>
      </c>
      <c r="E424" s="6" t="s">
        <v>3</v>
      </c>
      <c r="F424" s="6" t="s">
        <v>17</v>
      </c>
      <c r="G424" s="10" t="s">
        <v>503</v>
      </c>
      <c r="H424" s="6" t="s">
        <v>28</v>
      </c>
      <c r="I424" s="7">
        <v>1864</v>
      </c>
      <c r="J424" s="6" t="s">
        <v>504</v>
      </c>
      <c r="K424" s="23">
        <v>3</v>
      </c>
      <c r="L424" s="22">
        <f>0.1864*255.26*117.5809</f>
        <v>5594.5537795376003</v>
      </c>
      <c r="M424" s="22">
        <f t="shared" si="28"/>
        <v>1678.3661338612801</v>
      </c>
    </row>
    <row r="425" spans="1:14" ht="22.5" x14ac:dyDescent="0.25">
      <c r="A425" s="5" t="s">
        <v>495</v>
      </c>
      <c r="B425" s="6" t="s">
        <v>502</v>
      </c>
      <c r="C425" s="6" t="s">
        <v>15</v>
      </c>
      <c r="D425" s="6" t="s">
        <v>16</v>
      </c>
      <c r="E425" s="6" t="s">
        <v>3</v>
      </c>
      <c r="F425" s="6" t="s">
        <v>17</v>
      </c>
      <c r="G425" s="5" t="s">
        <v>505</v>
      </c>
      <c r="H425" s="6" t="s">
        <v>28</v>
      </c>
      <c r="I425" s="7">
        <v>531</v>
      </c>
      <c r="J425" s="6" t="s">
        <v>504</v>
      </c>
      <c r="K425" s="60">
        <v>4</v>
      </c>
      <c r="L425" s="16">
        <f>0.0531*255.26*117.5809</f>
        <v>1593.7274983554</v>
      </c>
      <c r="M425" s="16">
        <f t="shared" si="28"/>
        <v>478.11824950661997</v>
      </c>
    </row>
    <row r="426" spans="1:14" ht="22.5" x14ac:dyDescent="0.25">
      <c r="A426" s="5" t="s">
        <v>495</v>
      </c>
      <c r="B426" s="6" t="s">
        <v>502</v>
      </c>
      <c r="C426" s="6" t="s">
        <v>15</v>
      </c>
      <c r="D426" s="6" t="s">
        <v>16</v>
      </c>
      <c r="E426" s="6" t="s">
        <v>3</v>
      </c>
      <c r="F426" s="6" t="s">
        <v>17</v>
      </c>
      <c r="G426" s="5" t="s">
        <v>506</v>
      </c>
      <c r="H426" s="6" t="s">
        <v>28</v>
      </c>
      <c r="I426" s="7">
        <v>1933</v>
      </c>
      <c r="J426" s="6" t="s">
        <v>504</v>
      </c>
      <c r="K426" s="69"/>
      <c r="L426" s="12">
        <f>0.1933*255.26*117.5809</f>
        <v>5801.6483132222002</v>
      </c>
      <c r="M426" s="12">
        <f t="shared" si="28"/>
        <v>1740.49449396666</v>
      </c>
    </row>
    <row r="427" spans="1:14" ht="33.75" x14ac:dyDescent="0.25">
      <c r="A427" s="5" t="s">
        <v>495</v>
      </c>
      <c r="B427" s="6" t="s">
        <v>502</v>
      </c>
      <c r="C427" s="6" t="s">
        <v>15</v>
      </c>
      <c r="D427" s="6" t="s">
        <v>16</v>
      </c>
      <c r="E427" s="6" t="s">
        <v>3</v>
      </c>
      <c r="F427" s="6" t="s">
        <v>17</v>
      </c>
      <c r="G427" s="5" t="s">
        <v>507</v>
      </c>
      <c r="H427" s="6" t="s">
        <v>179</v>
      </c>
      <c r="I427" s="7">
        <v>882</v>
      </c>
      <c r="J427" s="6" t="s">
        <v>508</v>
      </c>
      <c r="K427" s="69"/>
      <c r="L427" s="16">
        <f>0.0882*280.51*117.5809</f>
        <v>2909.0669304437997</v>
      </c>
      <c r="M427" s="16">
        <f t="shared" si="28"/>
        <v>872.72007913313985</v>
      </c>
    </row>
    <row r="428" spans="1:14" ht="33.75" x14ac:dyDescent="0.25">
      <c r="A428" s="5" t="s">
        <v>495</v>
      </c>
      <c r="B428" s="6" t="s">
        <v>502</v>
      </c>
      <c r="C428" s="6" t="s">
        <v>15</v>
      </c>
      <c r="D428" s="6" t="s">
        <v>16</v>
      </c>
      <c r="E428" s="6" t="s">
        <v>3</v>
      </c>
      <c r="F428" s="6" t="s">
        <v>17</v>
      </c>
      <c r="G428" s="5" t="s">
        <v>509</v>
      </c>
      <c r="H428" s="6" t="s">
        <v>179</v>
      </c>
      <c r="I428" s="7">
        <v>950</v>
      </c>
      <c r="J428" s="6" t="s">
        <v>510</v>
      </c>
      <c r="K428" s="69"/>
      <c r="L428" s="12">
        <f>0.095*280.51*117.5809</f>
        <v>3133.3487346050001</v>
      </c>
      <c r="M428" s="12">
        <f t="shared" si="28"/>
        <v>940.00462038149999</v>
      </c>
    </row>
    <row r="429" spans="1:14" ht="33.75" x14ac:dyDescent="0.25">
      <c r="A429" s="5" t="s">
        <v>495</v>
      </c>
      <c r="B429" s="6" t="s">
        <v>502</v>
      </c>
      <c r="C429" s="6" t="s">
        <v>15</v>
      </c>
      <c r="D429" s="6" t="s">
        <v>16</v>
      </c>
      <c r="E429" s="6" t="s">
        <v>3</v>
      </c>
      <c r="F429" s="6" t="s">
        <v>17</v>
      </c>
      <c r="G429" s="5" t="s">
        <v>511</v>
      </c>
      <c r="H429" s="6" t="s">
        <v>179</v>
      </c>
      <c r="I429" s="7">
        <v>955</v>
      </c>
      <c r="J429" s="6" t="s">
        <v>512</v>
      </c>
      <c r="K429" s="69"/>
      <c r="L429" s="16">
        <f>0.0955*280.51*117.5809</f>
        <v>3149.8400437344999</v>
      </c>
      <c r="M429" s="16">
        <f t="shared" si="28"/>
        <v>944.95201312034987</v>
      </c>
    </row>
    <row r="430" spans="1:14" ht="33.75" x14ac:dyDescent="0.25">
      <c r="A430" s="5" t="s">
        <v>495</v>
      </c>
      <c r="B430" s="6" t="s">
        <v>502</v>
      </c>
      <c r="C430" s="6" t="s">
        <v>15</v>
      </c>
      <c r="D430" s="6" t="s">
        <v>16</v>
      </c>
      <c r="E430" s="6" t="s">
        <v>3</v>
      </c>
      <c r="F430" s="6" t="s">
        <v>17</v>
      </c>
      <c r="G430" s="5" t="s">
        <v>513</v>
      </c>
      <c r="H430" s="6" t="s">
        <v>179</v>
      </c>
      <c r="I430" s="7">
        <v>962</v>
      </c>
      <c r="J430" s="6" t="s">
        <v>514</v>
      </c>
      <c r="K430" s="69"/>
      <c r="L430" s="12">
        <f>0.0962*280.51*117.5809</f>
        <v>3172.9278765157997</v>
      </c>
      <c r="M430" s="12">
        <f t="shared" si="28"/>
        <v>951.87836295473983</v>
      </c>
    </row>
    <row r="431" spans="1:14" ht="33.75" x14ac:dyDescent="0.25">
      <c r="A431" s="5" t="s">
        <v>495</v>
      </c>
      <c r="B431" s="6" t="s">
        <v>502</v>
      </c>
      <c r="C431" s="6" t="s">
        <v>15</v>
      </c>
      <c r="D431" s="6" t="s">
        <v>16</v>
      </c>
      <c r="E431" s="6" t="s">
        <v>3</v>
      </c>
      <c r="F431" s="6" t="s">
        <v>17</v>
      </c>
      <c r="G431" s="5" t="s">
        <v>515</v>
      </c>
      <c r="H431" s="6" t="s">
        <v>179</v>
      </c>
      <c r="I431" s="7">
        <v>967</v>
      </c>
      <c r="J431" s="6" t="s">
        <v>516</v>
      </c>
      <c r="K431" s="69"/>
      <c r="L431" s="16">
        <f>0.0967*280.51*117.5809</f>
        <v>3189.4191856452999</v>
      </c>
      <c r="M431" s="16">
        <f t="shared" si="28"/>
        <v>956.82575569358994</v>
      </c>
    </row>
    <row r="432" spans="1:14" ht="33.75" x14ac:dyDescent="0.25">
      <c r="A432" s="5" t="s">
        <v>495</v>
      </c>
      <c r="B432" s="6" t="s">
        <v>502</v>
      </c>
      <c r="C432" s="6" t="s">
        <v>15</v>
      </c>
      <c r="D432" s="6" t="s">
        <v>16</v>
      </c>
      <c r="E432" s="6" t="s">
        <v>3</v>
      </c>
      <c r="F432" s="6" t="s">
        <v>17</v>
      </c>
      <c r="G432" s="5" t="s">
        <v>517</v>
      </c>
      <c r="H432" s="6" t="s">
        <v>179</v>
      </c>
      <c r="I432" s="7">
        <v>974</v>
      </c>
      <c r="J432" s="6" t="s">
        <v>518</v>
      </c>
      <c r="K432" s="69"/>
      <c r="L432" s="12">
        <f>0.0974*280.51*117.5809</f>
        <v>3212.5070184265996</v>
      </c>
      <c r="M432" s="12">
        <f t="shared" si="28"/>
        <v>963.75210552797989</v>
      </c>
    </row>
    <row r="433" spans="1:13" ht="33.75" x14ac:dyDescent="0.25">
      <c r="A433" s="5" t="s">
        <v>495</v>
      </c>
      <c r="B433" s="6" t="s">
        <v>502</v>
      </c>
      <c r="C433" s="6" t="s">
        <v>15</v>
      </c>
      <c r="D433" s="6" t="s">
        <v>16</v>
      </c>
      <c r="E433" s="6" t="s">
        <v>3</v>
      </c>
      <c r="F433" s="6" t="s">
        <v>17</v>
      </c>
      <c r="G433" s="5" t="s">
        <v>519</v>
      </c>
      <c r="H433" s="6" t="s">
        <v>179</v>
      </c>
      <c r="I433" s="7">
        <v>27</v>
      </c>
      <c r="J433" s="6" t="s">
        <v>520</v>
      </c>
      <c r="K433" s="69"/>
      <c r="L433" s="16">
        <f>0.0027*280.51*117.5809</f>
        <v>89.053069299299992</v>
      </c>
      <c r="M433" s="16">
        <f t="shared" si="28"/>
        <v>26.715920789789998</v>
      </c>
    </row>
    <row r="434" spans="1:13" ht="33.75" x14ac:dyDescent="0.25">
      <c r="A434" s="5" t="s">
        <v>495</v>
      </c>
      <c r="B434" s="6" t="s">
        <v>502</v>
      </c>
      <c r="C434" s="6" t="s">
        <v>15</v>
      </c>
      <c r="D434" s="6" t="s">
        <v>16</v>
      </c>
      <c r="E434" s="6" t="s">
        <v>3</v>
      </c>
      <c r="F434" s="6" t="s">
        <v>17</v>
      </c>
      <c r="G434" s="5" t="s">
        <v>521</v>
      </c>
      <c r="H434" s="6" t="s">
        <v>179</v>
      </c>
      <c r="I434" s="7">
        <v>954</v>
      </c>
      <c r="J434" s="6" t="s">
        <v>522</v>
      </c>
      <c r="K434" s="69"/>
      <c r="L434" s="12">
        <f>0.0954*280.51*117.5809</f>
        <v>3146.5417819085997</v>
      </c>
      <c r="M434" s="12">
        <f t="shared" si="28"/>
        <v>943.9625345725799</v>
      </c>
    </row>
    <row r="435" spans="1:13" ht="33.75" x14ac:dyDescent="0.25">
      <c r="A435" s="5" t="s">
        <v>495</v>
      </c>
      <c r="B435" s="6" t="s">
        <v>502</v>
      </c>
      <c r="C435" s="6" t="s">
        <v>15</v>
      </c>
      <c r="D435" s="6" t="s">
        <v>16</v>
      </c>
      <c r="E435" s="6" t="s">
        <v>3</v>
      </c>
      <c r="F435" s="6" t="s">
        <v>17</v>
      </c>
      <c r="G435" s="5" t="s">
        <v>523</v>
      </c>
      <c r="H435" s="6" t="s">
        <v>179</v>
      </c>
      <c r="I435" s="7">
        <v>608</v>
      </c>
      <c r="J435" s="6" t="s">
        <v>524</v>
      </c>
      <c r="K435" s="69"/>
      <c r="L435" s="16">
        <f>0.0608*280.51*117.5809</f>
        <v>2005.3431901472002</v>
      </c>
      <c r="M435" s="16">
        <f t="shared" si="28"/>
        <v>601.60295704416001</v>
      </c>
    </row>
    <row r="436" spans="1:13" ht="33.75" x14ac:dyDescent="0.25">
      <c r="A436" s="5" t="s">
        <v>495</v>
      </c>
      <c r="B436" s="6" t="s">
        <v>502</v>
      </c>
      <c r="C436" s="6" t="s">
        <v>15</v>
      </c>
      <c r="D436" s="6" t="s">
        <v>16</v>
      </c>
      <c r="E436" s="6" t="s">
        <v>3</v>
      </c>
      <c r="F436" s="6" t="s">
        <v>17</v>
      </c>
      <c r="G436" s="5" t="s">
        <v>525</v>
      </c>
      <c r="H436" s="6" t="s">
        <v>179</v>
      </c>
      <c r="I436" s="7">
        <v>18</v>
      </c>
      <c r="J436" s="6" t="s">
        <v>520</v>
      </c>
      <c r="K436" s="69"/>
      <c r="L436" s="20">
        <f>0.0018*280.51*117.5809</f>
        <v>59.368712866199999</v>
      </c>
      <c r="M436" s="20">
        <f t="shared" si="28"/>
        <v>17.810613859859998</v>
      </c>
    </row>
    <row r="437" spans="1:13" ht="33.75" x14ac:dyDescent="0.25">
      <c r="A437" s="5" t="s">
        <v>495</v>
      </c>
      <c r="B437" s="6" t="s">
        <v>502</v>
      </c>
      <c r="C437" s="6" t="s">
        <v>15</v>
      </c>
      <c r="D437" s="6" t="s">
        <v>16</v>
      </c>
      <c r="E437" s="6" t="s">
        <v>3</v>
      </c>
      <c r="F437" s="6" t="s">
        <v>17</v>
      </c>
      <c r="G437" s="5" t="s">
        <v>526</v>
      </c>
      <c r="H437" s="6" t="s">
        <v>179</v>
      </c>
      <c r="I437" s="7">
        <v>23</v>
      </c>
      <c r="J437" s="6" t="s">
        <v>520</v>
      </c>
      <c r="K437" s="69"/>
      <c r="L437" s="21">
        <f>0.0023*280.51*117.5809</f>
        <v>75.860021995699995</v>
      </c>
      <c r="M437" s="21">
        <f t="shared" si="28"/>
        <v>22.758006598709997</v>
      </c>
    </row>
    <row r="438" spans="1:13" ht="33.75" x14ac:dyDescent="0.25">
      <c r="A438" s="5" t="s">
        <v>495</v>
      </c>
      <c r="B438" s="6" t="s">
        <v>502</v>
      </c>
      <c r="C438" s="6" t="s">
        <v>15</v>
      </c>
      <c r="D438" s="6" t="s">
        <v>16</v>
      </c>
      <c r="E438" s="6" t="s">
        <v>3</v>
      </c>
      <c r="F438" s="6" t="s">
        <v>17</v>
      </c>
      <c r="G438" s="5" t="s">
        <v>527</v>
      </c>
      <c r="H438" s="6" t="s">
        <v>179</v>
      </c>
      <c r="I438" s="7">
        <v>27</v>
      </c>
      <c r="J438" s="6" t="s">
        <v>520</v>
      </c>
      <c r="K438" s="69"/>
      <c r="L438" s="20">
        <f>0.0027*280.51*117.5809</f>
        <v>89.053069299299992</v>
      </c>
      <c r="M438" s="20">
        <f t="shared" si="28"/>
        <v>26.715920789789998</v>
      </c>
    </row>
    <row r="439" spans="1:13" ht="33.75" x14ac:dyDescent="0.25">
      <c r="A439" s="5" t="s">
        <v>495</v>
      </c>
      <c r="B439" s="6" t="s">
        <v>502</v>
      </c>
      <c r="C439" s="6" t="s">
        <v>15</v>
      </c>
      <c r="D439" s="6" t="s">
        <v>16</v>
      </c>
      <c r="E439" s="6" t="s">
        <v>3</v>
      </c>
      <c r="F439" s="6" t="s">
        <v>17</v>
      </c>
      <c r="G439" s="5" t="s">
        <v>528</v>
      </c>
      <c r="H439" s="6" t="s">
        <v>179</v>
      </c>
      <c r="I439" s="7">
        <v>30</v>
      </c>
      <c r="J439" s="6" t="s">
        <v>520</v>
      </c>
      <c r="K439" s="69"/>
      <c r="L439" s="21">
        <f>0.003*280.51*117.5809</f>
        <v>98.947854777000003</v>
      </c>
      <c r="M439" s="21">
        <f t="shared" si="28"/>
        <v>29.6843564331</v>
      </c>
    </row>
    <row r="440" spans="1:13" ht="33.75" x14ac:dyDescent="0.25">
      <c r="A440" s="5" t="s">
        <v>495</v>
      </c>
      <c r="B440" s="6" t="s">
        <v>502</v>
      </c>
      <c r="C440" s="6" t="s">
        <v>15</v>
      </c>
      <c r="D440" s="6" t="s">
        <v>16</v>
      </c>
      <c r="E440" s="6" t="s">
        <v>3</v>
      </c>
      <c r="F440" s="6" t="s">
        <v>17</v>
      </c>
      <c r="G440" s="5" t="s">
        <v>529</v>
      </c>
      <c r="H440" s="6" t="s">
        <v>179</v>
      </c>
      <c r="I440" s="7">
        <v>34</v>
      </c>
      <c r="J440" s="6" t="s">
        <v>520</v>
      </c>
      <c r="K440" s="69"/>
      <c r="L440" s="20">
        <f>0.0034*280.51*117.5809</f>
        <v>112.1409020806</v>
      </c>
      <c r="M440" s="20">
        <f t="shared" si="28"/>
        <v>33.64227062418</v>
      </c>
    </row>
    <row r="441" spans="1:13" ht="33.75" x14ac:dyDescent="0.25">
      <c r="A441" s="5" t="s">
        <v>495</v>
      </c>
      <c r="B441" s="6" t="s">
        <v>502</v>
      </c>
      <c r="C441" s="6" t="s">
        <v>15</v>
      </c>
      <c r="D441" s="6" t="s">
        <v>16</v>
      </c>
      <c r="E441" s="6" t="s">
        <v>3</v>
      </c>
      <c r="F441" s="6" t="s">
        <v>17</v>
      </c>
      <c r="G441" s="5" t="s">
        <v>530</v>
      </c>
      <c r="H441" s="6" t="s">
        <v>179</v>
      </c>
      <c r="I441" s="7">
        <v>37</v>
      </c>
      <c r="J441" s="6" t="s">
        <v>520</v>
      </c>
      <c r="K441" s="69"/>
      <c r="L441" s="21">
        <f>0.0037*280.51*117.5809</f>
        <v>122.0356875583</v>
      </c>
      <c r="M441" s="21">
        <f t="shared" si="28"/>
        <v>36.610706267489995</v>
      </c>
    </row>
    <row r="442" spans="1:13" ht="33.75" x14ac:dyDescent="0.25">
      <c r="A442" s="5" t="s">
        <v>495</v>
      </c>
      <c r="B442" s="6" t="s">
        <v>502</v>
      </c>
      <c r="C442" s="6" t="s">
        <v>15</v>
      </c>
      <c r="D442" s="6" t="s">
        <v>16</v>
      </c>
      <c r="E442" s="6" t="s">
        <v>3</v>
      </c>
      <c r="F442" s="6" t="s">
        <v>17</v>
      </c>
      <c r="G442" s="5" t="s">
        <v>531</v>
      </c>
      <c r="H442" s="6" t="s">
        <v>179</v>
      </c>
      <c r="I442" s="7">
        <v>41</v>
      </c>
      <c r="J442" s="6" t="s">
        <v>520</v>
      </c>
      <c r="K442" s="69"/>
      <c r="L442" s="20">
        <f>0.0041*280.51*117.5809</f>
        <v>135.22873486189999</v>
      </c>
      <c r="M442" s="20">
        <f t="shared" si="28"/>
        <v>40.568620458569995</v>
      </c>
    </row>
    <row r="443" spans="1:13" x14ac:dyDescent="0.25">
      <c r="A443" s="5"/>
      <c r="B443" s="6"/>
      <c r="C443" s="6"/>
      <c r="D443" s="6"/>
      <c r="E443" s="6"/>
      <c r="F443" s="6"/>
      <c r="G443" s="5"/>
      <c r="H443" s="13" t="s">
        <v>25</v>
      </c>
      <c r="I443" s="7">
        <f>SUM(I425:I442)</f>
        <v>9953</v>
      </c>
      <c r="J443" s="6"/>
      <c r="K443" s="70"/>
      <c r="L443" s="37">
        <f>SUM(L425:L442)</f>
        <v>32096.058625742698</v>
      </c>
      <c r="M443" s="37">
        <f>SUM(M425:M442)</f>
        <v>9628.8175877228077</v>
      </c>
    </row>
    <row r="444" spans="1:13" ht="33.75" x14ac:dyDescent="0.25">
      <c r="A444" s="5" t="s">
        <v>495</v>
      </c>
      <c r="B444" s="6" t="s">
        <v>502</v>
      </c>
      <c r="C444" s="6" t="s">
        <v>15</v>
      </c>
      <c r="D444" s="6" t="s">
        <v>16</v>
      </c>
      <c r="E444" s="6" t="s">
        <v>3</v>
      </c>
      <c r="F444" s="6" t="s">
        <v>17</v>
      </c>
      <c r="G444" s="5" t="s">
        <v>532</v>
      </c>
      <c r="H444" s="6" t="s">
        <v>179</v>
      </c>
      <c r="I444" s="7">
        <v>446</v>
      </c>
      <c r="J444" s="6" t="s">
        <v>533</v>
      </c>
      <c r="K444" s="60">
        <v>5</v>
      </c>
      <c r="L444" s="20">
        <f>0.0446*280.51*117.5809</f>
        <v>1471.0247743513999</v>
      </c>
      <c r="M444" s="20">
        <f t="shared" ref="M444:M450" si="29">L444*0.3</f>
        <v>441.30743230541992</v>
      </c>
    </row>
    <row r="445" spans="1:13" ht="33.75" x14ac:dyDescent="0.25">
      <c r="A445" s="5" t="s">
        <v>495</v>
      </c>
      <c r="B445" s="6" t="s">
        <v>502</v>
      </c>
      <c r="C445" s="6" t="s">
        <v>15</v>
      </c>
      <c r="D445" s="6" t="s">
        <v>16</v>
      </c>
      <c r="E445" s="6" t="s">
        <v>3</v>
      </c>
      <c r="F445" s="6" t="s">
        <v>17</v>
      </c>
      <c r="G445" s="5" t="s">
        <v>534</v>
      </c>
      <c r="H445" s="6" t="s">
        <v>179</v>
      </c>
      <c r="I445" s="7">
        <v>447</v>
      </c>
      <c r="J445" s="6" t="s">
        <v>535</v>
      </c>
      <c r="K445" s="61"/>
      <c r="L445" s="21">
        <f>0.0447*280.51*117.5809</f>
        <v>1474.3230361772999</v>
      </c>
      <c r="M445" s="21">
        <f t="shared" si="29"/>
        <v>442.29691085318996</v>
      </c>
    </row>
    <row r="446" spans="1:13" ht="33.75" x14ac:dyDescent="0.25">
      <c r="A446" s="5" t="s">
        <v>495</v>
      </c>
      <c r="B446" s="6" t="s">
        <v>502</v>
      </c>
      <c r="C446" s="6" t="s">
        <v>15</v>
      </c>
      <c r="D446" s="6" t="s">
        <v>16</v>
      </c>
      <c r="E446" s="6" t="s">
        <v>3</v>
      </c>
      <c r="F446" s="6" t="s">
        <v>17</v>
      </c>
      <c r="G446" s="5" t="s">
        <v>536</v>
      </c>
      <c r="H446" s="6" t="s">
        <v>179</v>
      </c>
      <c r="I446" s="7">
        <v>447</v>
      </c>
      <c r="J446" s="6" t="s">
        <v>537</v>
      </c>
      <c r="K446" s="61"/>
      <c r="L446" s="20">
        <f>0.0447*280.51*117.5809</f>
        <v>1474.3230361772999</v>
      </c>
      <c r="M446" s="20">
        <f t="shared" si="29"/>
        <v>442.29691085318996</v>
      </c>
    </row>
    <row r="447" spans="1:13" ht="33.75" x14ac:dyDescent="0.25">
      <c r="A447" s="5" t="s">
        <v>495</v>
      </c>
      <c r="B447" s="6" t="s">
        <v>502</v>
      </c>
      <c r="C447" s="6" t="s">
        <v>15</v>
      </c>
      <c r="D447" s="6" t="s">
        <v>16</v>
      </c>
      <c r="E447" s="6" t="s">
        <v>3</v>
      </c>
      <c r="F447" s="6" t="s">
        <v>17</v>
      </c>
      <c r="G447" s="5" t="s">
        <v>538</v>
      </c>
      <c r="H447" s="6" t="s">
        <v>179</v>
      </c>
      <c r="I447" s="7">
        <v>466</v>
      </c>
      <c r="J447" s="6" t="s">
        <v>539</v>
      </c>
      <c r="K447" s="61"/>
      <c r="L447" s="21">
        <f>0.0466*280.51*117.5809</f>
        <v>1536.9900108694001</v>
      </c>
      <c r="M447" s="21">
        <f t="shared" si="29"/>
        <v>461.09700326081997</v>
      </c>
    </row>
    <row r="448" spans="1:13" ht="22.5" x14ac:dyDescent="0.25">
      <c r="A448" s="5" t="s">
        <v>495</v>
      </c>
      <c r="B448" s="6" t="s">
        <v>502</v>
      </c>
      <c r="C448" s="6" t="s">
        <v>15</v>
      </c>
      <c r="D448" s="6" t="s">
        <v>16</v>
      </c>
      <c r="E448" s="6" t="s">
        <v>3</v>
      </c>
      <c r="F448" s="6" t="s">
        <v>17</v>
      </c>
      <c r="G448" s="5" t="s">
        <v>540</v>
      </c>
      <c r="H448" s="6" t="s">
        <v>179</v>
      </c>
      <c r="I448" s="7">
        <v>755</v>
      </c>
      <c r="J448" s="6" t="s">
        <v>541</v>
      </c>
      <c r="K448" s="61"/>
      <c r="L448" s="20">
        <f>0.0755*280.51*117.5809</f>
        <v>2490.1876785544996</v>
      </c>
      <c r="M448" s="20">
        <f t="shared" si="29"/>
        <v>747.05630356634981</v>
      </c>
    </row>
    <row r="449" spans="1:13" ht="22.5" x14ac:dyDescent="0.25">
      <c r="A449" s="5" t="s">
        <v>495</v>
      </c>
      <c r="B449" s="6" t="s">
        <v>502</v>
      </c>
      <c r="C449" s="6" t="s">
        <v>15</v>
      </c>
      <c r="D449" s="6" t="s">
        <v>16</v>
      </c>
      <c r="E449" s="6" t="s">
        <v>3</v>
      </c>
      <c r="F449" s="6" t="s">
        <v>17</v>
      </c>
      <c r="G449" s="5" t="s">
        <v>542</v>
      </c>
      <c r="H449" s="6" t="s">
        <v>179</v>
      </c>
      <c r="I449" s="7">
        <v>191</v>
      </c>
      <c r="J449" s="6" t="s">
        <v>541</v>
      </c>
      <c r="K449" s="61"/>
      <c r="L449" s="21">
        <f>0.0191*280.51*117.5809</f>
        <v>629.96800874689995</v>
      </c>
      <c r="M449" s="21">
        <f t="shared" si="29"/>
        <v>188.99040262406999</v>
      </c>
    </row>
    <row r="450" spans="1:13" ht="33.75" x14ac:dyDescent="0.25">
      <c r="A450" s="5" t="s">
        <v>495</v>
      </c>
      <c r="B450" s="6" t="s">
        <v>502</v>
      </c>
      <c r="C450" s="6" t="s">
        <v>15</v>
      </c>
      <c r="D450" s="6" t="s">
        <v>16</v>
      </c>
      <c r="E450" s="6" t="s">
        <v>3</v>
      </c>
      <c r="F450" s="6" t="s">
        <v>17</v>
      </c>
      <c r="G450" s="5" t="s">
        <v>543</v>
      </c>
      <c r="H450" s="6" t="s">
        <v>179</v>
      </c>
      <c r="I450" s="7">
        <v>712</v>
      </c>
      <c r="J450" s="6" t="s">
        <v>544</v>
      </c>
      <c r="K450" s="61"/>
      <c r="L450" s="20">
        <f>0.0712*280.51*117.5809</f>
        <v>2348.3624200407999</v>
      </c>
      <c r="M450" s="20">
        <f t="shared" si="29"/>
        <v>704.50872601223989</v>
      </c>
    </row>
    <row r="451" spans="1:13" x14ac:dyDescent="0.25">
      <c r="A451" s="5"/>
      <c r="B451" s="6"/>
      <c r="C451" s="6"/>
      <c r="D451" s="6"/>
      <c r="E451" s="6"/>
      <c r="F451" s="6"/>
      <c r="G451" s="5"/>
      <c r="H451" s="13" t="s">
        <v>25</v>
      </c>
      <c r="I451" s="7">
        <f>+SUM(I444:I450)</f>
        <v>3464</v>
      </c>
      <c r="J451" s="6"/>
      <c r="K451" s="62"/>
      <c r="L451" s="19">
        <f>+SUM(L444:L450)</f>
        <v>11425.178964917599</v>
      </c>
      <c r="M451" s="19">
        <f>+SUM(M444:M450)</f>
        <v>3427.55368947528</v>
      </c>
    </row>
    <row r="452" spans="1:13" ht="45" x14ac:dyDescent="0.25">
      <c r="A452" s="27" t="s">
        <v>495</v>
      </c>
      <c r="B452" s="28" t="s">
        <v>502</v>
      </c>
      <c r="C452" s="28" t="s">
        <v>15</v>
      </c>
      <c r="D452" s="28" t="s">
        <v>16</v>
      </c>
      <c r="E452" s="28" t="s">
        <v>3</v>
      </c>
      <c r="F452" s="28" t="s">
        <v>17</v>
      </c>
      <c r="G452" s="27" t="s">
        <v>545</v>
      </c>
      <c r="H452" s="28" t="s">
        <v>179</v>
      </c>
      <c r="I452" s="29">
        <v>606</v>
      </c>
      <c r="J452" s="28" t="s">
        <v>546</v>
      </c>
      <c r="K452" s="66">
        <v>6</v>
      </c>
      <c r="L452" s="49">
        <f>0.0606*280.51*117.5809</f>
        <v>1998.7466664953997</v>
      </c>
      <c r="M452" s="49">
        <f>L452*0.3</f>
        <v>599.62399994861994</v>
      </c>
    </row>
    <row r="453" spans="1:13" ht="22.5" x14ac:dyDescent="0.25">
      <c r="A453" s="27" t="s">
        <v>495</v>
      </c>
      <c r="B453" s="28" t="s">
        <v>502</v>
      </c>
      <c r="C453" s="28" t="s">
        <v>15</v>
      </c>
      <c r="D453" s="28" t="s">
        <v>16</v>
      </c>
      <c r="E453" s="28" t="s">
        <v>3</v>
      </c>
      <c r="F453" s="28" t="s">
        <v>17</v>
      </c>
      <c r="G453" s="27" t="s">
        <v>547</v>
      </c>
      <c r="H453" s="28" t="s">
        <v>179</v>
      </c>
      <c r="I453" s="29">
        <v>56</v>
      </c>
      <c r="J453" s="28" t="s">
        <v>541</v>
      </c>
      <c r="K453" s="67"/>
      <c r="L453" s="50">
        <f>0.0056*280.51*117.5809</f>
        <v>184.70266225040001</v>
      </c>
      <c r="M453" s="50">
        <f>L453*0.3</f>
        <v>55.410798675119999</v>
      </c>
    </row>
    <row r="454" spans="1:13" ht="45" x14ac:dyDescent="0.25">
      <c r="A454" s="27" t="s">
        <v>495</v>
      </c>
      <c r="B454" s="28" t="s">
        <v>502</v>
      </c>
      <c r="C454" s="28" t="s">
        <v>15</v>
      </c>
      <c r="D454" s="28" t="s">
        <v>16</v>
      </c>
      <c r="E454" s="28" t="s">
        <v>3</v>
      </c>
      <c r="F454" s="28" t="s">
        <v>17</v>
      </c>
      <c r="G454" s="27" t="s">
        <v>548</v>
      </c>
      <c r="H454" s="28" t="s">
        <v>179</v>
      </c>
      <c r="I454" s="29">
        <v>300</v>
      </c>
      <c r="J454" s="28" t="s">
        <v>549</v>
      </c>
      <c r="K454" s="67"/>
      <c r="L454" s="49">
        <f>0.03*280.51*117.5809</f>
        <v>989.47854776999998</v>
      </c>
      <c r="M454" s="49">
        <f>L454*0.3</f>
        <v>296.84356433099998</v>
      </c>
    </row>
    <row r="455" spans="1:13" x14ac:dyDescent="0.25">
      <c r="A455" s="27"/>
      <c r="B455" s="28"/>
      <c r="C455" s="28"/>
      <c r="D455" s="28"/>
      <c r="E455" s="28"/>
      <c r="F455" s="28"/>
      <c r="G455" s="27"/>
      <c r="H455" s="51" t="s">
        <v>25</v>
      </c>
      <c r="I455" s="29">
        <f>SUM(I452:I454)</f>
        <v>962</v>
      </c>
      <c r="J455" s="28"/>
      <c r="K455" s="68"/>
      <c r="L455" s="52">
        <f>SUM(L452:L454)</f>
        <v>3172.9278765157997</v>
      </c>
      <c r="M455" s="52">
        <f>SUM(M452:M454)</f>
        <v>951.87836295473994</v>
      </c>
    </row>
    <row r="456" spans="1:13" ht="33.75" x14ac:dyDescent="0.25">
      <c r="A456" s="27" t="s">
        <v>495</v>
      </c>
      <c r="B456" s="28" t="s">
        <v>502</v>
      </c>
      <c r="C456" s="28" t="s">
        <v>15</v>
      </c>
      <c r="D456" s="28" t="s">
        <v>16</v>
      </c>
      <c r="E456" s="28" t="s">
        <v>3</v>
      </c>
      <c r="F456" s="28" t="s">
        <v>17</v>
      </c>
      <c r="G456" s="27" t="s">
        <v>550</v>
      </c>
      <c r="H456" s="28" t="s">
        <v>179</v>
      </c>
      <c r="I456" s="29">
        <v>178</v>
      </c>
      <c r="J456" s="28" t="s">
        <v>520</v>
      </c>
      <c r="K456" s="66">
        <v>7</v>
      </c>
      <c r="L456" s="49">
        <f>0.0178*280.51*117.5809</f>
        <v>587.09060501019997</v>
      </c>
      <c r="M456" s="49">
        <f>L456*0.3</f>
        <v>176.12718150305997</v>
      </c>
    </row>
    <row r="457" spans="1:13" ht="33.75" x14ac:dyDescent="0.25">
      <c r="A457" s="27" t="s">
        <v>495</v>
      </c>
      <c r="B457" s="28" t="s">
        <v>502</v>
      </c>
      <c r="C457" s="28" t="s">
        <v>15</v>
      </c>
      <c r="D457" s="28" t="s">
        <v>16</v>
      </c>
      <c r="E457" s="28" t="s">
        <v>3</v>
      </c>
      <c r="F457" s="28" t="s">
        <v>17</v>
      </c>
      <c r="G457" s="27" t="s">
        <v>551</v>
      </c>
      <c r="H457" s="28" t="s">
        <v>179</v>
      </c>
      <c r="I457" s="29">
        <v>26</v>
      </c>
      <c r="J457" s="28" t="s">
        <v>520</v>
      </c>
      <c r="K457" s="67"/>
      <c r="L457" s="50">
        <f>0.0026*280.51*117.5809</f>
        <v>85.754807473399993</v>
      </c>
      <c r="M457" s="50">
        <f>L457*0.3</f>
        <v>25.726442242019996</v>
      </c>
    </row>
    <row r="458" spans="1:13" x14ac:dyDescent="0.25">
      <c r="A458" s="27"/>
      <c r="B458" s="28"/>
      <c r="C458" s="28"/>
      <c r="D458" s="28"/>
      <c r="E458" s="28"/>
      <c r="F458" s="28"/>
      <c r="G458" s="27"/>
      <c r="H458" s="51" t="s">
        <v>25</v>
      </c>
      <c r="I458" s="29">
        <f>SUM(I456:I457)</f>
        <v>204</v>
      </c>
      <c r="J458" s="28"/>
      <c r="K458" s="68"/>
      <c r="L458" s="53">
        <f>SUM(L456:L457)</f>
        <v>672.84541248359994</v>
      </c>
      <c r="M458" s="53">
        <f>SUM(M456:M457)</f>
        <v>201.85362374507997</v>
      </c>
    </row>
    <row r="459" spans="1:13" ht="22.5" x14ac:dyDescent="0.25">
      <c r="A459" s="5" t="s">
        <v>495</v>
      </c>
      <c r="B459" s="6" t="s">
        <v>502</v>
      </c>
      <c r="C459" s="6" t="s">
        <v>15</v>
      </c>
      <c r="D459" s="6" t="s">
        <v>16</v>
      </c>
      <c r="E459" s="6" t="s">
        <v>3</v>
      </c>
      <c r="F459" s="6" t="s">
        <v>17</v>
      </c>
      <c r="G459" s="5" t="s">
        <v>552</v>
      </c>
      <c r="H459" s="6" t="s">
        <v>179</v>
      </c>
      <c r="I459" s="7">
        <v>551</v>
      </c>
      <c r="J459" s="6" t="s">
        <v>541</v>
      </c>
      <c r="K459" s="60">
        <v>8</v>
      </c>
      <c r="L459" s="21">
        <f>0.0551*280.51*117.5809</f>
        <v>1817.3422660709</v>
      </c>
      <c r="M459" s="21">
        <f>L459*0.3</f>
        <v>545.20267982126995</v>
      </c>
    </row>
    <row r="460" spans="1:13" ht="22.5" x14ac:dyDescent="0.25">
      <c r="A460" s="5" t="s">
        <v>495</v>
      </c>
      <c r="B460" s="6" t="s">
        <v>502</v>
      </c>
      <c r="C460" s="6" t="s">
        <v>15</v>
      </c>
      <c r="D460" s="6" t="s">
        <v>16</v>
      </c>
      <c r="E460" s="6" t="s">
        <v>3</v>
      </c>
      <c r="F460" s="6" t="s">
        <v>17</v>
      </c>
      <c r="G460" s="5" t="s">
        <v>553</v>
      </c>
      <c r="H460" s="6" t="s">
        <v>28</v>
      </c>
      <c r="I460" s="7">
        <v>118</v>
      </c>
      <c r="J460" s="6" t="s">
        <v>541</v>
      </c>
      <c r="K460" s="61"/>
      <c r="L460" s="20">
        <f>0.0118*255.26*117.5809</f>
        <v>354.16166630119994</v>
      </c>
      <c r="M460" s="20">
        <f>L460*0.3</f>
        <v>106.24849989035998</v>
      </c>
    </row>
    <row r="461" spans="1:13" x14ac:dyDescent="0.25">
      <c r="A461" s="5"/>
      <c r="B461" s="6"/>
      <c r="C461" s="6"/>
      <c r="D461" s="6"/>
      <c r="E461" s="6"/>
      <c r="F461" s="6"/>
      <c r="G461" s="5"/>
      <c r="H461" s="13" t="s">
        <v>25</v>
      </c>
      <c r="I461" s="7">
        <f>SUM(I459:I460)</f>
        <v>669</v>
      </c>
      <c r="J461" s="6"/>
      <c r="K461" s="62"/>
      <c r="L461" s="37">
        <f>SUM(L459:L460)</f>
        <v>2171.5039323720998</v>
      </c>
      <c r="M461" s="37">
        <f>SUM(M459:M460)</f>
        <v>651.45117971162995</v>
      </c>
    </row>
    <row r="462" spans="1:13" ht="22.5" x14ac:dyDescent="0.25">
      <c r="A462" s="5" t="s">
        <v>495</v>
      </c>
      <c r="B462" s="6" t="s">
        <v>502</v>
      </c>
      <c r="C462" s="6" t="s">
        <v>15</v>
      </c>
      <c r="D462" s="6" t="s">
        <v>16</v>
      </c>
      <c r="E462" s="6" t="s">
        <v>3</v>
      </c>
      <c r="F462" s="6" t="s">
        <v>17</v>
      </c>
      <c r="G462" s="5" t="s">
        <v>554</v>
      </c>
      <c r="H462" s="6" t="s">
        <v>28</v>
      </c>
      <c r="I462" s="7">
        <v>426</v>
      </c>
      <c r="J462" s="6" t="s">
        <v>504</v>
      </c>
      <c r="K462" s="60">
        <v>9</v>
      </c>
      <c r="L462" s="12">
        <f>0.0426*255.26*117.5809</f>
        <v>1278.5836427483998</v>
      </c>
      <c r="M462" s="12">
        <f t="shared" ref="M462:M469" si="30">L462*0.3</f>
        <v>383.57509282451991</v>
      </c>
    </row>
    <row r="463" spans="1:13" ht="22.5" x14ac:dyDescent="0.25">
      <c r="A463" s="5" t="s">
        <v>495</v>
      </c>
      <c r="B463" s="6" t="s">
        <v>502</v>
      </c>
      <c r="C463" s="6" t="s">
        <v>15</v>
      </c>
      <c r="D463" s="6" t="s">
        <v>16</v>
      </c>
      <c r="E463" s="6" t="s">
        <v>3</v>
      </c>
      <c r="F463" s="6" t="s">
        <v>17</v>
      </c>
      <c r="G463" s="5" t="s">
        <v>555</v>
      </c>
      <c r="H463" s="6" t="s">
        <v>28</v>
      </c>
      <c r="I463" s="7">
        <v>733</v>
      </c>
      <c r="J463" s="6" t="s">
        <v>504</v>
      </c>
      <c r="K463" s="61"/>
      <c r="L463" s="16">
        <f>0.0733*255.26*117.5809</f>
        <v>2200.0042491422</v>
      </c>
      <c r="M463" s="16">
        <f t="shared" si="30"/>
        <v>660.00127474266003</v>
      </c>
    </row>
    <row r="464" spans="1:13" ht="33.75" x14ac:dyDescent="0.25">
      <c r="A464" s="5" t="s">
        <v>495</v>
      </c>
      <c r="B464" s="6" t="s">
        <v>502</v>
      </c>
      <c r="C464" s="6" t="s">
        <v>15</v>
      </c>
      <c r="D464" s="6" t="s">
        <v>16</v>
      </c>
      <c r="E464" s="6" t="s">
        <v>3</v>
      </c>
      <c r="F464" s="6" t="s">
        <v>17</v>
      </c>
      <c r="G464" s="5" t="s">
        <v>556</v>
      </c>
      <c r="H464" s="6" t="s">
        <v>28</v>
      </c>
      <c r="I464" s="7">
        <v>56</v>
      </c>
      <c r="J464" s="6" t="s">
        <v>520</v>
      </c>
      <c r="K464" s="61"/>
      <c r="L464" s="12">
        <f>0.0056*255.26*117.5809</f>
        <v>168.07672299039999</v>
      </c>
      <c r="M464" s="12">
        <f t="shared" si="30"/>
        <v>50.423016897119993</v>
      </c>
    </row>
    <row r="465" spans="1:13" ht="33.75" x14ac:dyDescent="0.25">
      <c r="A465" s="5" t="s">
        <v>495</v>
      </c>
      <c r="B465" s="6" t="s">
        <v>502</v>
      </c>
      <c r="C465" s="6" t="s">
        <v>15</v>
      </c>
      <c r="D465" s="6" t="s">
        <v>16</v>
      </c>
      <c r="E465" s="6" t="s">
        <v>3</v>
      </c>
      <c r="F465" s="6" t="s">
        <v>17</v>
      </c>
      <c r="G465" s="5" t="s">
        <v>557</v>
      </c>
      <c r="H465" s="6" t="s">
        <v>28</v>
      </c>
      <c r="I465" s="7">
        <v>653</v>
      </c>
      <c r="J465" s="6" t="s">
        <v>558</v>
      </c>
      <c r="K465" s="61"/>
      <c r="L465" s="16">
        <f>0.0653*255.26*117.5809</f>
        <v>1959.8946448702</v>
      </c>
      <c r="M465" s="16">
        <f t="shared" si="30"/>
        <v>587.96839346105992</v>
      </c>
    </row>
    <row r="466" spans="1:13" ht="33.75" x14ac:dyDescent="0.25">
      <c r="A466" s="5" t="s">
        <v>495</v>
      </c>
      <c r="B466" s="6" t="s">
        <v>502</v>
      </c>
      <c r="C466" s="6" t="s">
        <v>15</v>
      </c>
      <c r="D466" s="6" t="s">
        <v>16</v>
      </c>
      <c r="E466" s="6" t="s">
        <v>3</v>
      </c>
      <c r="F466" s="6" t="s">
        <v>17</v>
      </c>
      <c r="G466" s="5" t="s">
        <v>559</v>
      </c>
      <c r="H466" s="6" t="s">
        <v>28</v>
      </c>
      <c r="I466" s="7">
        <v>656</v>
      </c>
      <c r="J466" s="6" t="s">
        <v>560</v>
      </c>
      <c r="K466" s="61"/>
      <c r="L466" s="12">
        <f>0.0656*255.26*117.5809</f>
        <v>1968.8987550304003</v>
      </c>
      <c r="M466" s="12">
        <f t="shared" si="30"/>
        <v>590.66962650912001</v>
      </c>
    </row>
    <row r="467" spans="1:13" ht="33.75" x14ac:dyDescent="0.25">
      <c r="A467" s="5" t="s">
        <v>495</v>
      </c>
      <c r="B467" s="6" t="s">
        <v>502</v>
      </c>
      <c r="C467" s="6" t="s">
        <v>15</v>
      </c>
      <c r="D467" s="6" t="s">
        <v>16</v>
      </c>
      <c r="E467" s="6" t="s">
        <v>3</v>
      </c>
      <c r="F467" s="6" t="s">
        <v>17</v>
      </c>
      <c r="G467" s="5" t="s">
        <v>561</v>
      </c>
      <c r="H467" s="6" t="s">
        <v>28</v>
      </c>
      <c r="I467" s="7">
        <v>219</v>
      </c>
      <c r="J467" s="6" t="s">
        <v>520</v>
      </c>
      <c r="K467" s="61"/>
      <c r="L467" s="16">
        <f>0.0219*255.26*117.5809</f>
        <v>657.30004169459994</v>
      </c>
      <c r="M467" s="16">
        <f t="shared" si="30"/>
        <v>197.19001250837997</v>
      </c>
    </row>
    <row r="468" spans="1:13" ht="33.75" x14ac:dyDescent="0.25">
      <c r="A468" s="5" t="s">
        <v>495</v>
      </c>
      <c r="B468" s="6" t="s">
        <v>502</v>
      </c>
      <c r="C468" s="6" t="s">
        <v>15</v>
      </c>
      <c r="D468" s="6" t="s">
        <v>16</v>
      </c>
      <c r="E468" s="6" t="s">
        <v>3</v>
      </c>
      <c r="F468" s="6" t="s">
        <v>17</v>
      </c>
      <c r="G468" s="5" t="s">
        <v>562</v>
      </c>
      <c r="H468" s="6" t="s">
        <v>28</v>
      </c>
      <c r="I468" s="7">
        <v>438</v>
      </c>
      <c r="J468" s="6" t="s">
        <v>563</v>
      </c>
      <c r="K468" s="61"/>
      <c r="L468" s="12">
        <f>0.0438*255.26*117.5809</f>
        <v>1314.6000833891999</v>
      </c>
      <c r="M468" s="12">
        <f t="shared" si="30"/>
        <v>394.38002501675993</v>
      </c>
    </row>
    <row r="469" spans="1:13" ht="33.75" x14ac:dyDescent="0.25">
      <c r="A469" s="5" t="s">
        <v>495</v>
      </c>
      <c r="B469" s="6" t="s">
        <v>502</v>
      </c>
      <c r="C469" s="6" t="s">
        <v>15</v>
      </c>
      <c r="D469" s="6" t="s">
        <v>16</v>
      </c>
      <c r="E469" s="6" t="s">
        <v>3</v>
      </c>
      <c r="F469" s="6" t="s">
        <v>17</v>
      </c>
      <c r="G469" s="5" t="s">
        <v>564</v>
      </c>
      <c r="H469" s="6" t="s">
        <v>28</v>
      </c>
      <c r="I469" s="7">
        <v>495</v>
      </c>
      <c r="J469" s="6" t="s">
        <v>565</v>
      </c>
      <c r="K469" s="61"/>
      <c r="L469" s="16">
        <f>0.0495*255.26*117.5809</f>
        <v>1485.6781764330001</v>
      </c>
      <c r="M469" s="16">
        <f t="shared" si="30"/>
        <v>445.70345292990004</v>
      </c>
    </row>
    <row r="470" spans="1:13" x14ac:dyDescent="0.25">
      <c r="A470" s="5"/>
      <c r="B470" s="6"/>
      <c r="C470" s="6"/>
      <c r="D470" s="6"/>
      <c r="E470" s="6"/>
      <c r="F470" s="6"/>
      <c r="G470" s="5"/>
      <c r="H470" s="13" t="s">
        <v>25</v>
      </c>
      <c r="I470" s="7">
        <f>SUM(I462:I469)</f>
        <v>3676</v>
      </c>
      <c r="J470" s="6"/>
      <c r="K470" s="62"/>
      <c r="L470" s="38">
        <f>SUM(L462:L469)</f>
        <v>11033.036316298401</v>
      </c>
      <c r="M470" s="38">
        <f>SUM(M462:M469)</f>
        <v>3309.9108948895196</v>
      </c>
    </row>
    <row r="471" spans="1:13" ht="33.75" x14ac:dyDescent="0.25">
      <c r="A471" s="5" t="s">
        <v>495</v>
      </c>
      <c r="B471" s="6" t="s">
        <v>502</v>
      </c>
      <c r="C471" s="6" t="s">
        <v>15</v>
      </c>
      <c r="D471" s="6" t="s">
        <v>16</v>
      </c>
      <c r="E471" s="6" t="s">
        <v>3</v>
      </c>
      <c r="F471" s="6" t="s">
        <v>17</v>
      </c>
      <c r="G471" s="5" t="s">
        <v>566</v>
      </c>
      <c r="H471" s="6" t="s">
        <v>179</v>
      </c>
      <c r="I471" s="7">
        <v>72</v>
      </c>
      <c r="J471" s="6" t="s">
        <v>520</v>
      </c>
      <c r="K471" s="60">
        <v>10</v>
      </c>
      <c r="L471" s="21">
        <f>0.0072*280.51*117.5809</f>
        <v>237.4748514648</v>
      </c>
      <c r="M471" s="21">
        <f t="shared" ref="M471:M486" si="31">L471*0.3</f>
        <v>71.242455439439993</v>
      </c>
    </row>
    <row r="472" spans="1:13" ht="33.75" x14ac:dyDescent="0.25">
      <c r="A472" s="5" t="s">
        <v>495</v>
      </c>
      <c r="B472" s="6" t="s">
        <v>502</v>
      </c>
      <c r="C472" s="6" t="s">
        <v>15</v>
      </c>
      <c r="D472" s="6" t="s">
        <v>16</v>
      </c>
      <c r="E472" s="6" t="s">
        <v>3</v>
      </c>
      <c r="F472" s="6" t="s">
        <v>17</v>
      </c>
      <c r="G472" s="5" t="s">
        <v>567</v>
      </c>
      <c r="H472" s="6" t="s">
        <v>179</v>
      </c>
      <c r="I472" s="7">
        <v>441</v>
      </c>
      <c r="J472" s="6" t="s">
        <v>520</v>
      </c>
      <c r="K472" s="61"/>
      <c r="L472" s="20">
        <f>0.0441*280.51*117.5809</f>
        <v>1454.5334652218999</v>
      </c>
      <c r="M472" s="20">
        <f t="shared" si="31"/>
        <v>436.36003956656992</v>
      </c>
    </row>
    <row r="473" spans="1:13" ht="33.75" x14ac:dyDescent="0.25">
      <c r="A473" s="5" t="s">
        <v>495</v>
      </c>
      <c r="B473" s="6" t="s">
        <v>502</v>
      </c>
      <c r="C473" s="6" t="s">
        <v>15</v>
      </c>
      <c r="D473" s="6" t="s">
        <v>16</v>
      </c>
      <c r="E473" s="6" t="s">
        <v>3</v>
      </c>
      <c r="F473" s="6" t="s">
        <v>17</v>
      </c>
      <c r="G473" s="5" t="s">
        <v>568</v>
      </c>
      <c r="H473" s="6" t="s">
        <v>179</v>
      </c>
      <c r="I473" s="7">
        <v>552</v>
      </c>
      <c r="J473" s="6" t="s">
        <v>520</v>
      </c>
      <c r="K473" s="61"/>
      <c r="L473" s="21">
        <f>0.0552*280.51*117.5809</f>
        <v>1820.6405278968</v>
      </c>
      <c r="M473" s="21">
        <f t="shared" si="31"/>
        <v>546.19215836903993</v>
      </c>
    </row>
    <row r="474" spans="1:13" ht="33.75" x14ac:dyDescent="0.25">
      <c r="A474" s="5" t="s">
        <v>495</v>
      </c>
      <c r="B474" s="6" t="s">
        <v>502</v>
      </c>
      <c r="C474" s="6" t="s">
        <v>15</v>
      </c>
      <c r="D474" s="6" t="s">
        <v>16</v>
      </c>
      <c r="E474" s="6" t="s">
        <v>3</v>
      </c>
      <c r="F474" s="6" t="s">
        <v>17</v>
      </c>
      <c r="G474" s="5" t="s">
        <v>569</v>
      </c>
      <c r="H474" s="6" t="s">
        <v>179</v>
      </c>
      <c r="I474" s="7">
        <v>369</v>
      </c>
      <c r="J474" s="6" t="s">
        <v>520</v>
      </c>
      <c r="K474" s="61"/>
      <c r="L474" s="20">
        <f>0.0369*280.51*117.5809</f>
        <v>1217.0586137570999</v>
      </c>
      <c r="M474" s="20">
        <f t="shared" si="31"/>
        <v>365.11758412712999</v>
      </c>
    </row>
    <row r="475" spans="1:13" ht="33.75" x14ac:dyDescent="0.25">
      <c r="A475" s="5" t="s">
        <v>495</v>
      </c>
      <c r="B475" s="6" t="s">
        <v>502</v>
      </c>
      <c r="C475" s="6" t="s">
        <v>15</v>
      </c>
      <c r="D475" s="6" t="s">
        <v>16</v>
      </c>
      <c r="E475" s="6" t="s">
        <v>3</v>
      </c>
      <c r="F475" s="6" t="s">
        <v>17</v>
      </c>
      <c r="G475" s="5" t="s">
        <v>570</v>
      </c>
      <c r="H475" s="6" t="s">
        <v>179</v>
      </c>
      <c r="I475" s="7">
        <v>292</v>
      </c>
      <c r="J475" s="6" t="s">
        <v>520</v>
      </c>
      <c r="K475" s="61"/>
      <c r="L475" s="21">
        <f>0.0292*280.51*117.5809</f>
        <v>963.09245316279998</v>
      </c>
      <c r="M475" s="21">
        <f t="shared" si="31"/>
        <v>288.92773594884</v>
      </c>
    </row>
    <row r="476" spans="1:13" ht="33.75" x14ac:dyDescent="0.25">
      <c r="A476" s="5" t="s">
        <v>495</v>
      </c>
      <c r="B476" s="6" t="s">
        <v>502</v>
      </c>
      <c r="C476" s="6" t="s">
        <v>15</v>
      </c>
      <c r="D476" s="6" t="s">
        <v>16</v>
      </c>
      <c r="E476" s="6" t="s">
        <v>3</v>
      </c>
      <c r="F476" s="6" t="s">
        <v>17</v>
      </c>
      <c r="G476" s="5" t="s">
        <v>571</v>
      </c>
      <c r="H476" s="6" t="s">
        <v>179</v>
      </c>
      <c r="I476" s="7">
        <v>24</v>
      </c>
      <c r="J476" s="6" t="s">
        <v>520</v>
      </c>
      <c r="K476" s="61"/>
      <c r="L476" s="20">
        <f>0.0024*280.51*117.5809</f>
        <v>79.158283821599994</v>
      </c>
      <c r="M476" s="20">
        <f t="shared" si="31"/>
        <v>23.747485146479999</v>
      </c>
    </row>
    <row r="477" spans="1:13" ht="33.75" x14ac:dyDescent="0.25">
      <c r="A477" s="5" t="s">
        <v>495</v>
      </c>
      <c r="B477" s="6" t="s">
        <v>502</v>
      </c>
      <c r="C477" s="6" t="s">
        <v>15</v>
      </c>
      <c r="D477" s="6" t="s">
        <v>16</v>
      </c>
      <c r="E477" s="6" t="s">
        <v>3</v>
      </c>
      <c r="F477" s="6" t="s">
        <v>17</v>
      </c>
      <c r="G477" s="5" t="s">
        <v>572</v>
      </c>
      <c r="H477" s="6" t="s">
        <v>179</v>
      </c>
      <c r="I477" s="7">
        <v>243</v>
      </c>
      <c r="J477" s="6" t="s">
        <v>520</v>
      </c>
      <c r="K477" s="61"/>
      <c r="L477" s="21">
        <f>0.0243*280.51*117.5809</f>
        <v>801.47762369369991</v>
      </c>
      <c r="M477" s="21">
        <f t="shared" si="31"/>
        <v>240.44328710810996</v>
      </c>
    </row>
    <row r="478" spans="1:13" ht="33.75" x14ac:dyDescent="0.25">
      <c r="A478" s="5" t="s">
        <v>495</v>
      </c>
      <c r="B478" s="6" t="s">
        <v>502</v>
      </c>
      <c r="C478" s="6" t="s">
        <v>15</v>
      </c>
      <c r="D478" s="6" t="s">
        <v>16</v>
      </c>
      <c r="E478" s="6" t="s">
        <v>3</v>
      </c>
      <c r="F478" s="6" t="s">
        <v>17</v>
      </c>
      <c r="G478" s="5" t="s">
        <v>573</v>
      </c>
      <c r="H478" s="6" t="s">
        <v>28</v>
      </c>
      <c r="I478" s="7">
        <v>170</v>
      </c>
      <c r="J478" s="6" t="s">
        <v>520</v>
      </c>
      <c r="K478" s="61"/>
      <c r="L478" s="20">
        <f>0.017*255.26*117.5809</f>
        <v>510.23290907800003</v>
      </c>
      <c r="M478" s="20">
        <f t="shared" si="31"/>
        <v>153.06987272340001</v>
      </c>
    </row>
    <row r="479" spans="1:13" ht="33.75" x14ac:dyDescent="0.25">
      <c r="A479" s="5" t="s">
        <v>495</v>
      </c>
      <c r="B479" s="6" t="s">
        <v>502</v>
      </c>
      <c r="C479" s="6" t="s">
        <v>15</v>
      </c>
      <c r="D479" s="6" t="s">
        <v>16</v>
      </c>
      <c r="E479" s="6" t="s">
        <v>3</v>
      </c>
      <c r="F479" s="6" t="s">
        <v>17</v>
      </c>
      <c r="G479" s="5" t="s">
        <v>574</v>
      </c>
      <c r="H479" s="6" t="s">
        <v>179</v>
      </c>
      <c r="I479" s="7">
        <v>314</v>
      </c>
      <c r="J479" s="6" t="s">
        <v>520</v>
      </c>
      <c r="K479" s="61"/>
      <c r="L479" s="21">
        <f>0.0314*280.51*117.5809</f>
        <v>1035.6542133325997</v>
      </c>
      <c r="M479" s="21">
        <f t="shared" si="31"/>
        <v>310.69626399977989</v>
      </c>
    </row>
    <row r="480" spans="1:13" ht="33.75" x14ac:dyDescent="0.25">
      <c r="A480" s="5" t="s">
        <v>495</v>
      </c>
      <c r="B480" s="6" t="s">
        <v>502</v>
      </c>
      <c r="C480" s="6" t="s">
        <v>15</v>
      </c>
      <c r="D480" s="6" t="s">
        <v>16</v>
      </c>
      <c r="E480" s="6" t="s">
        <v>3</v>
      </c>
      <c r="F480" s="6" t="s">
        <v>17</v>
      </c>
      <c r="G480" s="5" t="s">
        <v>575</v>
      </c>
      <c r="H480" s="6" t="s">
        <v>179</v>
      </c>
      <c r="I480" s="7">
        <v>442</v>
      </c>
      <c r="J480" s="6" t="s">
        <v>576</v>
      </c>
      <c r="K480" s="61"/>
      <c r="L480" s="20">
        <f>0.0442*280.51*117.5809</f>
        <v>1457.8317270478001</v>
      </c>
      <c r="M480" s="20">
        <f t="shared" si="31"/>
        <v>437.34951811434001</v>
      </c>
    </row>
    <row r="481" spans="1:13" ht="33.75" x14ac:dyDescent="0.25">
      <c r="A481" s="5" t="s">
        <v>495</v>
      </c>
      <c r="B481" s="6" t="s">
        <v>502</v>
      </c>
      <c r="C481" s="6" t="s">
        <v>15</v>
      </c>
      <c r="D481" s="6" t="s">
        <v>16</v>
      </c>
      <c r="E481" s="6" t="s">
        <v>3</v>
      </c>
      <c r="F481" s="6" t="s">
        <v>17</v>
      </c>
      <c r="G481" s="5" t="s">
        <v>577</v>
      </c>
      <c r="H481" s="6" t="s">
        <v>179</v>
      </c>
      <c r="I481" s="7">
        <v>1</v>
      </c>
      <c r="J481" s="6" t="s">
        <v>520</v>
      </c>
      <c r="K481" s="61"/>
      <c r="L481" s="21">
        <f>0.0001*280.51*117.5809</f>
        <v>3.2982618259000001</v>
      </c>
      <c r="M481" s="21">
        <f t="shared" si="31"/>
        <v>0.98947854776999999</v>
      </c>
    </row>
    <row r="482" spans="1:13" ht="33.75" x14ac:dyDescent="0.25">
      <c r="A482" s="5" t="s">
        <v>495</v>
      </c>
      <c r="B482" s="6" t="s">
        <v>502</v>
      </c>
      <c r="C482" s="6" t="s">
        <v>15</v>
      </c>
      <c r="D482" s="6" t="s">
        <v>16</v>
      </c>
      <c r="E482" s="6" t="s">
        <v>3</v>
      </c>
      <c r="F482" s="6" t="s">
        <v>17</v>
      </c>
      <c r="G482" s="5" t="s">
        <v>578</v>
      </c>
      <c r="H482" s="6" t="s">
        <v>179</v>
      </c>
      <c r="I482" s="7">
        <v>368</v>
      </c>
      <c r="J482" s="6" t="s">
        <v>579</v>
      </c>
      <c r="K482" s="61"/>
      <c r="L482" s="20">
        <f>0.0368*280.51*117.5809</f>
        <v>1213.7603519311999</v>
      </c>
      <c r="M482" s="20">
        <f t="shared" si="31"/>
        <v>364.12810557935995</v>
      </c>
    </row>
    <row r="483" spans="1:13" ht="33.75" x14ac:dyDescent="0.25">
      <c r="A483" s="5" t="s">
        <v>495</v>
      </c>
      <c r="B483" s="6" t="s">
        <v>502</v>
      </c>
      <c r="C483" s="6" t="s">
        <v>15</v>
      </c>
      <c r="D483" s="6" t="s">
        <v>16</v>
      </c>
      <c r="E483" s="6" t="s">
        <v>3</v>
      </c>
      <c r="F483" s="6" t="s">
        <v>17</v>
      </c>
      <c r="G483" s="5" t="s">
        <v>580</v>
      </c>
      <c r="H483" s="6" t="s">
        <v>179</v>
      </c>
      <c r="I483" s="7">
        <v>265</v>
      </c>
      <c r="J483" s="6" t="s">
        <v>581</v>
      </c>
      <c r="K483" s="61"/>
      <c r="L483" s="21">
        <f>0.0265*280.51*117.5809</f>
        <v>874.03938386350001</v>
      </c>
      <c r="M483" s="21">
        <f t="shared" si="31"/>
        <v>262.21181515904999</v>
      </c>
    </row>
    <row r="484" spans="1:13" ht="33.75" x14ac:dyDescent="0.25">
      <c r="A484" s="5" t="s">
        <v>495</v>
      </c>
      <c r="B484" s="6" t="s">
        <v>502</v>
      </c>
      <c r="C484" s="6" t="s">
        <v>15</v>
      </c>
      <c r="D484" s="6" t="s">
        <v>16</v>
      </c>
      <c r="E484" s="6" t="s">
        <v>3</v>
      </c>
      <c r="F484" s="6" t="s">
        <v>17</v>
      </c>
      <c r="G484" s="5" t="s">
        <v>582</v>
      </c>
      <c r="H484" s="6" t="s">
        <v>179</v>
      </c>
      <c r="I484" s="7">
        <v>154</v>
      </c>
      <c r="J484" s="6" t="s">
        <v>583</v>
      </c>
      <c r="K484" s="61"/>
      <c r="L484" s="20">
        <f>0.0154*280.51*117.5809</f>
        <v>507.93232118860004</v>
      </c>
      <c r="M484" s="20">
        <f t="shared" si="31"/>
        <v>152.37969635658001</v>
      </c>
    </row>
    <row r="485" spans="1:13" ht="33.75" x14ac:dyDescent="0.25">
      <c r="A485" s="5" t="s">
        <v>495</v>
      </c>
      <c r="B485" s="6" t="s">
        <v>502</v>
      </c>
      <c r="C485" s="6" t="s">
        <v>15</v>
      </c>
      <c r="D485" s="6" t="s">
        <v>16</v>
      </c>
      <c r="E485" s="6" t="s">
        <v>3</v>
      </c>
      <c r="F485" s="6" t="s">
        <v>17</v>
      </c>
      <c r="G485" s="5" t="s">
        <v>584</v>
      </c>
      <c r="H485" s="6" t="s">
        <v>179</v>
      </c>
      <c r="I485" s="7">
        <v>145</v>
      </c>
      <c r="J485" s="6" t="s">
        <v>585</v>
      </c>
      <c r="K485" s="61"/>
      <c r="L485" s="21">
        <f>0.0145*280.51*117.5809</f>
        <v>478.24796475550005</v>
      </c>
      <c r="M485" s="21">
        <f t="shared" si="31"/>
        <v>143.47438942665002</v>
      </c>
    </row>
    <row r="486" spans="1:13" ht="33.75" x14ac:dyDescent="0.25">
      <c r="A486" s="5" t="s">
        <v>495</v>
      </c>
      <c r="B486" s="6" t="s">
        <v>502</v>
      </c>
      <c r="C486" s="6" t="s">
        <v>15</v>
      </c>
      <c r="D486" s="6" t="s">
        <v>16</v>
      </c>
      <c r="E486" s="6" t="s">
        <v>3</v>
      </c>
      <c r="F486" s="6" t="s">
        <v>17</v>
      </c>
      <c r="G486" s="5" t="s">
        <v>586</v>
      </c>
      <c r="H486" s="6" t="s">
        <v>179</v>
      </c>
      <c r="I486" s="7">
        <v>26</v>
      </c>
      <c r="J486" s="6" t="s">
        <v>520</v>
      </c>
      <c r="K486" s="61"/>
      <c r="L486" s="20">
        <f>0.0026*280.51*117.5809</f>
        <v>85.754807473399993</v>
      </c>
      <c r="M486" s="20">
        <f t="shared" si="31"/>
        <v>25.726442242019996</v>
      </c>
    </row>
    <row r="487" spans="1:13" x14ac:dyDescent="0.25">
      <c r="A487" s="5"/>
      <c r="B487" s="6"/>
      <c r="C487" s="6"/>
      <c r="D487" s="6"/>
      <c r="E487" s="6"/>
      <c r="F487" s="6"/>
      <c r="G487" s="5"/>
      <c r="H487" s="13" t="s">
        <v>25</v>
      </c>
      <c r="I487" s="7">
        <f>SUM(I471:I486)</f>
        <v>3878</v>
      </c>
      <c r="J487" s="6"/>
      <c r="K487" s="62"/>
      <c r="L487" s="37">
        <f>SUM(L471:L486)</f>
        <v>12740.187759515198</v>
      </c>
      <c r="M487" s="37">
        <f>SUM(M471:M486)</f>
        <v>3822.0563278545592</v>
      </c>
    </row>
    <row r="488" spans="1:13" ht="45" x14ac:dyDescent="0.25">
      <c r="A488" s="5" t="s">
        <v>495</v>
      </c>
      <c r="B488" s="6" t="s">
        <v>502</v>
      </c>
      <c r="C488" s="6" t="s">
        <v>15</v>
      </c>
      <c r="D488" s="6" t="s">
        <v>16</v>
      </c>
      <c r="E488" s="6" t="s">
        <v>3</v>
      </c>
      <c r="F488" s="6" t="s">
        <v>17</v>
      </c>
      <c r="G488" s="5" t="s">
        <v>587</v>
      </c>
      <c r="H488" s="6" t="s">
        <v>179</v>
      </c>
      <c r="I488" s="7">
        <v>88</v>
      </c>
      <c r="J488" s="6" t="s">
        <v>588</v>
      </c>
      <c r="K488" s="60">
        <v>11</v>
      </c>
      <c r="L488" s="20">
        <f>0.0088*280.51*117.5809</f>
        <v>290.24704067920004</v>
      </c>
      <c r="M488" s="20">
        <f>L488*0.3</f>
        <v>87.074112203760009</v>
      </c>
    </row>
    <row r="489" spans="1:13" ht="33.75" x14ac:dyDescent="0.25">
      <c r="A489" s="5" t="s">
        <v>495</v>
      </c>
      <c r="B489" s="6" t="s">
        <v>502</v>
      </c>
      <c r="C489" s="6" t="s">
        <v>15</v>
      </c>
      <c r="D489" s="6" t="s">
        <v>16</v>
      </c>
      <c r="E489" s="6" t="s">
        <v>3</v>
      </c>
      <c r="F489" s="6" t="s">
        <v>17</v>
      </c>
      <c r="G489" s="5" t="s">
        <v>589</v>
      </c>
      <c r="H489" s="6" t="s">
        <v>179</v>
      </c>
      <c r="I489" s="7">
        <v>42</v>
      </c>
      <c r="J489" s="6" t="s">
        <v>590</v>
      </c>
      <c r="K489" s="61"/>
      <c r="L489" s="21">
        <f>0.0042*280.51*117.5809</f>
        <v>138.52699668779997</v>
      </c>
      <c r="M489" s="21">
        <f>L489*0.3</f>
        <v>41.558099006339987</v>
      </c>
    </row>
    <row r="490" spans="1:13" x14ac:dyDescent="0.25">
      <c r="A490" s="5"/>
      <c r="B490" s="6"/>
      <c r="C490" s="6"/>
      <c r="D490" s="6"/>
      <c r="E490" s="6"/>
      <c r="F490" s="6"/>
      <c r="G490" s="5"/>
      <c r="H490" s="13" t="s">
        <v>25</v>
      </c>
      <c r="I490" s="7">
        <f>SUM(I488:I489)</f>
        <v>130</v>
      </c>
      <c r="J490" s="6"/>
      <c r="K490" s="62"/>
      <c r="L490" s="38">
        <f>SUM(L488:L489)</f>
        <v>428.77403736700001</v>
      </c>
      <c r="M490" s="38">
        <f>SUM(M488:M489)</f>
        <v>128.6322112101</v>
      </c>
    </row>
    <row r="491" spans="1:13" ht="33.75" x14ac:dyDescent="0.25">
      <c r="A491" s="5" t="s">
        <v>495</v>
      </c>
      <c r="B491" s="6" t="s">
        <v>502</v>
      </c>
      <c r="C491" s="6" t="s">
        <v>15</v>
      </c>
      <c r="D491" s="6" t="s">
        <v>16</v>
      </c>
      <c r="E491" s="6" t="s">
        <v>3</v>
      </c>
      <c r="F491" s="6" t="s">
        <v>17</v>
      </c>
      <c r="G491" s="5" t="s">
        <v>591</v>
      </c>
      <c r="H491" s="6" t="s">
        <v>179</v>
      </c>
      <c r="I491" s="7">
        <v>17</v>
      </c>
      <c r="J491" s="6" t="s">
        <v>590</v>
      </c>
      <c r="K491" s="60">
        <v>12</v>
      </c>
      <c r="L491" s="16">
        <f>0.0017*280.51*117.5809</f>
        <v>56.0704510403</v>
      </c>
      <c r="M491" s="16">
        <f t="shared" ref="M491:M504" si="32">L491*0.3</f>
        <v>16.82113531209</v>
      </c>
    </row>
    <row r="492" spans="1:13" ht="33.75" x14ac:dyDescent="0.25">
      <c r="A492" s="5" t="s">
        <v>495</v>
      </c>
      <c r="B492" s="6" t="s">
        <v>502</v>
      </c>
      <c r="C492" s="6" t="s">
        <v>15</v>
      </c>
      <c r="D492" s="6" t="s">
        <v>16</v>
      </c>
      <c r="E492" s="6" t="s">
        <v>3</v>
      </c>
      <c r="F492" s="6" t="s">
        <v>17</v>
      </c>
      <c r="G492" s="5" t="s">
        <v>592</v>
      </c>
      <c r="H492" s="6" t="s">
        <v>179</v>
      </c>
      <c r="I492" s="7">
        <v>587</v>
      </c>
      <c r="J492" s="6" t="s">
        <v>593</v>
      </c>
      <c r="K492" s="61"/>
      <c r="L492" s="12">
        <f>0.0587*280.51*117.5809</f>
        <v>1936.0796918033</v>
      </c>
      <c r="M492" s="12">
        <f t="shared" si="32"/>
        <v>580.82390754098992</v>
      </c>
    </row>
    <row r="493" spans="1:13" ht="33.75" x14ac:dyDescent="0.25">
      <c r="A493" s="5" t="s">
        <v>495</v>
      </c>
      <c r="B493" s="6" t="s">
        <v>502</v>
      </c>
      <c r="C493" s="6" t="s">
        <v>15</v>
      </c>
      <c r="D493" s="6" t="s">
        <v>16</v>
      </c>
      <c r="E493" s="6" t="s">
        <v>3</v>
      </c>
      <c r="F493" s="6" t="s">
        <v>17</v>
      </c>
      <c r="G493" s="5" t="s">
        <v>594</v>
      </c>
      <c r="H493" s="6" t="s">
        <v>179</v>
      </c>
      <c r="I493" s="7">
        <v>719</v>
      </c>
      <c r="J493" s="6" t="s">
        <v>595</v>
      </c>
      <c r="K493" s="61"/>
      <c r="L493" s="16">
        <f>0.0719*280.51*117.5809</f>
        <v>2371.4502528221001</v>
      </c>
      <c r="M493" s="16">
        <f t="shared" si="32"/>
        <v>711.43507584662996</v>
      </c>
    </row>
    <row r="494" spans="1:13" ht="33.75" x14ac:dyDescent="0.25">
      <c r="A494" s="5" t="s">
        <v>495</v>
      </c>
      <c r="B494" s="6" t="s">
        <v>502</v>
      </c>
      <c r="C494" s="6" t="s">
        <v>15</v>
      </c>
      <c r="D494" s="6" t="s">
        <v>16</v>
      </c>
      <c r="E494" s="6" t="s">
        <v>3</v>
      </c>
      <c r="F494" s="6" t="s">
        <v>17</v>
      </c>
      <c r="G494" s="5" t="s">
        <v>596</v>
      </c>
      <c r="H494" s="6" t="s">
        <v>179</v>
      </c>
      <c r="I494" s="7">
        <v>252</v>
      </c>
      <c r="J494" s="6" t="s">
        <v>520</v>
      </c>
      <c r="K494" s="61"/>
      <c r="L494" s="12">
        <f>0.0252*280.51*117.5809</f>
        <v>831.16198012680002</v>
      </c>
      <c r="M494" s="12">
        <f t="shared" si="32"/>
        <v>249.34859403804001</v>
      </c>
    </row>
    <row r="495" spans="1:13" ht="33.75" x14ac:dyDescent="0.25">
      <c r="A495" s="5" t="s">
        <v>495</v>
      </c>
      <c r="B495" s="6" t="s">
        <v>502</v>
      </c>
      <c r="C495" s="6" t="s">
        <v>15</v>
      </c>
      <c r="D495" s="6" t="s">
        <v>16</v>
      </c>
      <c r="E495" s="6" t="s">
        <v>3</v>
      </c>
      <c r="F495" s="6" t="s">
        <v>17</v>
      </c>
      <c r="G495" s="5" t="s">
        <v>597</v>
      </c>
      <c r="H495" s="6" t="s">
        <v>179</v>
      </c>
      <c r="I495" s="7">
        <v>943</v>
      </c>
      <c r="J495" s="6" t="s">
        <v>598</v>
      </c>
      <c r="K495" s="61"/>
      <c r="L495" s="16">
        <f>0.0943*280.51*117.5809</f>
        <v>3110.2609018236999</v>
      </c>
      <c r="M495" s="16">
        <f t="shared" si="32"/>
        <v>933.07827054710992</v>
      </c>
    </row>
    <row r="496" spans="1:13" ht="33.75" x14ac:dyDescent="0.25">
      <c r="A496" s="5" t="s">
        <v>495</v>
      </c>
      <c r="B496" s="6" t="s">
        <v>502</v>
      </c>
      <c r="C496" s="6" t="s">
        <v>15</v>
      </c>
      <c r="D496" s="6" t="s">
        <v>16</v>
      </c>
      <c r="E496" s="6" t="s">
        <v>3</v>
      </c>
      <c r="F496" s="6" t="s">
        <v>17</v>
      </c>
      <c r="G496" s="5" t="s">
        <v>599</v>
      </c>
      <c r="H496" s="6" t="s">
        <v>179</v>
      </c>
      <c r="I496" s="7">
        <v>912</v>
      </c>
      <c r="J496" s="6" t="s">
        <v>600</v>
      </c>
      <c r="K496" s="61"/>
      <c r="L496" s="12">
        <f>0.0912*280.51*117.5809</f>
        <v>3008.0147852208001</v>
      </c>
      <c r="M496" s="12">
        <f t="shared" si="32"/>
        <v>902.40443556624007</v>
      </c>
    </row>
    <row r="497" spans="1:13" ht="33.75" x14ac:dyDescent="0.25">
      <c r="A497" s="5" t="s">
        <v>495</v>
      </c>
      <c r="B497" s="6" t="s">
        <v>502</v>
      </c>
      <c r="C497" s="6" t="s">
        <v>15</v>
      </c>
      <c r="D497" s="6" t="s">
        <v>16</v>
      </c>
      <c r="E497" s="6" t="s">
        <v>3</v>
      </c>
      <c r="F497" s="6" t="s">
        <v>17</v>
      </c>
      <c r="G497" s="5" t="s">
        <v>601</v>
      </c>
      <c r="H497" s="6" t="s">
        <v>179</v>
      </c>
      <c r="I497" s="7">
        <v>101</v>
      </c>
      <c r="J497" s="6" t="s">
        <v>520</v>
      </c>
      <c r="K497" s="61"/>
      <c r="L497" s="16">
        <f>0.0101*280.51*117.5809</f>
        <v>333.12444441589997</v>
      </c>
      <c r="M497" s="16">
        <f t="shared" si="32"/>
        <v>99.937333324769995</v>
      </c>
    </row>
    <row r="498" spans="1:13" ht="22.5" x14ac:dyDescent="0.25">
      <c r="A498" s="5" t="s">
        <v>495</v>
      </c>
      <c r="B498" s="6" t="s">
        <v>502</v>
      </c>
      <c r="C498" s="6" t="s">
        <v>15</v>
      </c>
      <c r="D498" s="6" t="s">
        <v>16</v>
      </c>
      <c r="E498" s="6" t="s">
        <v>3</v>
      </c>
      <c r="F498" s="6" t="s">
        <v>17</v>
      </c>
      <c r="G498" s="5" t="s">
        <v>602</v>
      </c>
      <c r="H498" s="6" t="s">
        <v>179</v>
      </c>
      <c r="I498" s="7">
        <v>174</v>
      </c>
      <c r="J498" s="6" t="s">
        <v>603</v>
      </c>
      <c r="K498" s="61"/>
      <c r="L498" s="12">
        <f>0.0174*280.51*117.5809</f>
        <v>573.89755770659997</v>
      </c>
      <c r="M498" s="12">
        <f t="shared" si="32"/>
        <v>172.16926731197998</v>
      </c>
    </row>
    <row r="499" spans="1:13" ht="22.5" x14ac:dyDescent="0.25">
      <c r="A499" s="5" t="s">
        <v>495</v>
      </c>
      <c r="B499" s="6" t="s">
        <v>502</v>
      </c>
      <c r="C499" s="6" t="s">
        <v>15</v>
      </c>
      <c r="D499" s="6" t="s">
        <v>16</v>
      </c>
      <c r="E499" s="6" t="s">
        <v>3</v>
      </c>
      <c r="F499" s="6" t="s">
        <v>17</v>
      </c>
      <c r="G499" s="5" t="s">
        <v>604</v>
      </c>
      <c r="H499" s="6" t="s">
        <v>179</v>
      </c>
      <c r="I499" s="7">
        <v>534</v>
      </c>
      <c r="J499" s="6" t="s">
        <v>603</v>
      </c>
      <c r="K499" s="61"/>
      <c r="L499" s="16">
        <f>0.0534*280.51*117.5809</f>
        <v>1761.2718150306</v>
      </c>
      <c r="M499" s="16">
        <f t="shared" si="32"/>
        <v>528.38154450918</v>
      </c>
    </row>
    <row r="500" spans="1:13" ht="22.5" x14ac:dyDescent="0.25">
      <c r="A500" s="5" t="s">
        <v>495</v>
      </c>
      <c r="B500" s="6" t="s">
        <v>502</v>
      </c>
      <c r="C500" s="6" t="s">
        <v>15</v>
      </c>
      <c r="D500" s="6" t="s">
        <v>16</v>
      </c>
      <c r="E500" s="6" t="s">
        <v>3</v>
      </c>
      <c r="F500" s="6" t="s">
        <v>17</v>
      </c>
      <c r="G500" s="5" t="s">
        <v>605</v>
      </c>
      <c r="H500" s="6" t="s">
        <v>179</v>
      </c>
      <c r="I500" s="7">
        <v>369</v>
      </c>
      <c r="J500" s="6" t="s">
        <v>603</v>
      </c>
      <c r="K500" s="61"/>
      <c r="L500" s="12">
        <f>0.0369*280.51*117.5809</f>
        <v>1217.0586137570999</v>
      </c>
      <c r="M500" s="12">
        <f t="shared" si="32"/>
        <v>365.11758412712999</v>
      </c>
    </row>
    <row r="501" spans="1:13" ht="22.5" x14ac:dyDescent="0.25">
      <c r="A501" s="5" t="s">
        <v>495</v>
      </c>
      <c r="B501" s="6" t="s">
        <v>502</v>
      </c>
      <c r="C501" s="6" t="s">
        <v>15</v>
      </c>
      <c r="D501" s="6" t="s">
        <v>16</v>
      </c>
      <c r="E501" s="6" t="s">
        <v>3</v>
      </c>
      <c r="F501" s="6" t="s">
        <v>17</v>
      </c>
      <c r="G501" s="5" t="s">
        <v>606</v>
      </c>
      <c r="H501" s="6" t="s">
        <v>179</v>
      </c>
      <c r="I501" s="7">
        <v>98</v>
      </c>
      <c r="J501" s="6" t="s">
        <v>603</v>
      </c>
      <c r="K501" s="61"/>
      <c r="L501" s="16">
        <f>0.0098*280.51*117.5809</f>
        <v>323.22965893819998</v>
      </c>
      <c r="M501" s="16">
        <f t="shared" si="32"/>
        <v>96.968897681459993</v>
      </c>
    </row>
    <row r="502" spans="1:13" ht="33.75" x14ac:dyDescent="0.25">
      <c r="A502" s="5" t="s">
        <v>495</v>
      </c>
      <c r="B502" s="6" t="s">
        <v>502</v>
      </c>
      <c r="C502" s="6" t="s">
        <v>15</v>
      </c>
      <c r="D502" s="6" t="s">
        <v>16</v>
      </c>
      <c r="E502" s="6" t="s">
        <v>3</v>
      </c>
      <c r="F502" s="6" t="s">
        <v>17</v>
      </c>
      <c r="G502" s="5" t="s">
        <v>607</v>
      </c>
      <c r="H502" s="6" t="s">
        <v>179</v>
      </c>
      <c r="I502" s="7">
        <v>154</v>
      </c>
      <c r="J502" s="6" t="s">
        <v>590</v>
      </c>
      <c r="K502" s="61"/>
      <c r="L502" s="12">
        <f>0.0154*280.51*117.5809</f>
        <v>507.93232118860004</v>
      </c>
      <c r="M502" s="12">
        <f t="shared" si="32"/>
        <v>152.37969635658001</v>
      </c>
    </row>
    <row r="503" spans="1:13" ht="33.75" x14ac:dyDescent="0.25">
      <c r="A503" s="5" t="s">
        <v>495</v>
      </c>
      <c r="B503" s="6" t="s">
        <v>502</v>
      </c>
      <c r="C503" s="6" t="s">
        <v>15</v>
      </c>
      <c r="D503" s="6" t="s">
        <v>16</v>
      </c>
      <c r="E503" s="6" t="s">
        <v>3</v>
      </c>
      <c r="F503" s="6" t="s">
        <v>17</v>
      </c>
      <c r="G503" s="5" t="s">
        <v>608</v>
      </c>
      <c r="H503" s="6" t="s">
        <v>179</v>
      </c>
      <c r="I503" s="7">
        <v>244</v>
      </c>
      <c r="J503" s="6" t="s">
        <v>590</v>
      </c>
      <c r="K503" s="61"/>
      <c r="L503" s="16">
        <f>0.0244*280.51*117.5809</f>
        <v>804.77588551960002</v>
      </c>
      <c r="M503" s="16">
        <f t="shared" si="32"/>
        <v>241.43276565587999</v>
      </c>
    </row>
    <row r="504" spans="1:13" ht="33.75" x14ac:dyDescent="0.25">
      <c r="A504" s="5" t="s">
        <v>495</v>
      </c>
      <c r="B504" s="6" t="s">
        <v>502</v>
      </c>
      <c r="C504" s="6" t="s">
        <v>15</v>
      </c>
      <c r="D504" s="6" t="s">
        <v>16</v>
      </c>
      <c r="E504" s="6" t="s">
        <v>3</v>
      </c>
      <c r="F504" s="6" t="s">
        <v>17</v>
      </c>
      <c r="G504" s="5" t="s">
        <v>609</v>
      </c>
      <c r="H504" s="6" t="s">
        <v>179</v>
      </c>
      <c r="I504" s="7">
        <v>45</v>
      </c>
      <c r="J504" s="6" t="s">
        <v>590</v>
      </c>
      <c r="K504" s="61"/>
      <c r="L504" s="12">
        <f>0.0045*280.51*117.5809</f>
        <v>148.42178216549999</v>
      </c>
      <c r="M504" s="12">
        <f t="shared" si="32"/>
        <v>44.526534649649996</v>
      </c>
    </row>
    <row r="505" spans="1:13" x14ac:dyDescent="0.25">
      <c r="A505" s="5"/>
      <c r="B505" s="6"/>
      <c r="C505" s="6"/>
      <c r="D505" s="6"/>
      <c r="E505" s="6"/>
      <c r="F505" s="6"/>
      <c r="G505" s="5"/>
      <c r="H505" s="13" t="s">
        <v>25</v>
      </c>
      <c r="I505" s="7">
        <f>SUM(I491:I504)</f>
        <v>5149</v>
      </c>
      <c r="J505" s="6"/>
      <c r="K505" s="62"/>
      <c r="L505" s="37">
        <f>SUM(L491:L504)</f>
        <v>16982.7501415591</v>
      </c>
      <c r="M505" s="37">
        <f>SUM(M491:M504)</f>
        <v>5094.8250424677281</v>
      </c>
    </row>
    <row r="506" spans="1:13" ht="45" x14ac:dyDescent="0.25">
      <c r="A506" s="5" t="s">
        <v>495</v>
      </c>
      <c r="B506" s="6" t="s">
        <v>502</v>
      </c>
      <c r="C506" s="6" t="s">
        <v>15</v>
      </c>
      <c r="D506" s="6" t="s">
        <v>16</v>
      </c>
      <c r="E506" s="6" t="s">
        <v>3</v>
      </c>
      <c r="F506" s="6" t="s">
        <v>17</v>
      </c>
      <c r="G506" s="5" t="s">
        <v>610</v>
      </c>
      <c r="H506" s="6" t="s">
        <v>179</v>
      </c>
      <c r="I506" s="7">
        <v>687</v>
      </c>
      <c r="J506" s="6" t="s">
        <v>611</v>
      </c>
      <c r="K506" s="60">
        <v>13</v>
      </c>
      <c r="L506" s="20">
        <f>0.0687*280.51*117.5809</f>
        <v>2265.9058743933001</v>
      </c>
      <c r="M506" s="20">
        <f>L506*0.3</f>
        <v>679.77176231799001</v>
      </c>
    </row>
    <row r="507" spans="1:13" ht="45" x14ac:dyDescent="0.25">
      <c r="A507" s="5" t="s">
        <v>495</v>
      </c>
      <c r="B507" s="6" t="s">
        <v>502</v>
      </c>
      <c r="C507" s="6" t="s">
        <v>15</v>
      </c>
      <c r="D507" s="6" t="s">
        <v>16</v>
      </c>
      <c r="E507" s="6" t="s">
        <v>3</v>
      </c>
      <c r="F507" s="6" t="s">
        <v>17</v>
      </c>
      <c r="G507" s="5" t="s">
        <v>612</v>
      </c>
      <c r="H507" s="6" t="s">
        <v>179</v>
      </c>
      <c r="I507" s="7">
        <v>513</v>
      </c>
      <c r="J507" s="6" t="s">
        <v>613</v>
      </c>
      <c r="K507" s="61"/>
      <c r="L507" s="21">
        <f>0.0513*280.51*117.5809</f>
        <v>1692.0083166867</v>
      </c>
      <c r="M507" s="21">
        <f>L507*0.3</f>
        <v>507.60249500600997</v>
      </c>
    </row>
    <row r="508" spans="1:13" ht="45" x14ac:dyDescent="0.25">
      <c r="A508" s="5" t="s">
        <v>495</v>
      </c>
      <c r="B508" s="6" t="s">
        <v>502</v>
      </c>
      <c r="C508" s="6" t="s">
        <v>15</v>
      </c>
      <c r="D508" s="6" t="s">
        <v>16</v>
      </c>
      <c r="E508" s="6" t="s">
        <v>3</v>
      </c>
      <c r="F508" s="6" t="s">
        <v>17</v>
      </c>
      <c r="G508" s="5" t="s">
        <v>614</v>
      </c>
      <c r="H508" s="6" t="s">
        <v>179</v>
      </c>
      <c r="I508" s="7">
        <v>529</v>
      </c>
      <c r="J508" s="6" t="s">
        <v>615</v>
      </c>
      <c r="K508" s="61"/>
      <c r="L508" s="20">
        <f>0.0529*280.51*117.5809</f>
        <v>1744.7805059011</v>
      </c>
      <c r="M508" s="20">
        <f>L508*0.3</f>
        <v>523.43415177033</v>
      </c>
    </row>
    <row r="509" spans="1:13" ht="45" x14ac:dyDescent="0.25">
      <c r="A509" s="5" t="s">
        <v>495</v>
      </c>
      <c r="B509" s="6" t="s">
        <v>502</v>
      </c>
      <c r="C509" s="6" t="s">
        <v>15</v>
      </c>
      <c r="D509" s="6" t="s">
        <v>16</v>
      </c>
      <c r="E509" s="6" t="s">
        <v>3</v>
      </c>
      <c r="F509" s="6" t="s">
        <v>17</v>
      </c>
      <c r="G509" s="5" t="s">
        <v>616</v>
      </c>
      <c r="H509" s="6" t="s">
        <v>179</v>
      </c>
      <c r="I509" s="7">
        <v>652</v>
      </c>
      <c r="J509" s="6" t="s">
        <v>617</v>
      </c>
      <c r="K509" s="61"/>
      <c r="L509" s="21">
        <f>0.0652*280.51*117.5809</f>
        <v>2150.4667104867999</v>
      </c>
      <c r="M509" s="21">
        <f>L509*0.3</f>
        <v>645.14001314603991</v>
      </c>
    </row>
    <row r="510" spans="1:13" x14ac:dyDescent="0.25">
      <c r="A510" s="5"/>
      <c r="B510" s="6"/>
      <c r="C510" s="6"/>
      <c r="D510" s="6"/>
      <c r="E510" s="6"/>
      <c r="F510" s="6"/>
      <c r="G510" s="5"/>
      <c r="H510" s="13" t="s">
        <v>25</v>
      </c>
      <c r="I510" s="7">
        <f>SUM(I506:I509)</f>
        <v>2381</v>
      </c>
      <c r="J510" s="6"/>
      <c r="K510" s="62"/>
      <c r="L510" s="38">
        <f>SUM(L506:L509)</f>
        <v>7853.1614074679001</v>
      </c>
      <c r="M510" s="38">
        <f>SUM(M506:M509)</f>
        <v>2355.9484222403698</v>
      </c>
    </row>
    <row r="511" spans="1:13" ht="22.5" x14ac:dyDescent="0.25">
      <c r="A511" s="5" t="s">
        <v>495</v>
      </c>
      <c r="B511" s="6" t="s">
        <v>502</v>
      </c>
      <c r="C511" s="6" t="s">
        <v>15</v>
      </c>
      <c r="D511" s="6" t="s">
        <v>16</v>
      </c>
      <c r="E511" s="6" t="s">
        <v>3</v>
      </c>
      <c r="F511" s="6" t="s">
        <v>17</v>
      </c>
      <c r="G511" s="5" t="s">
        <v>618</v>
      </c>
      <c r="H511" s="6" t="s">
        <v>179</v>
      </c>
      <c r="I511" s="7">
        <v>1773</v>
      </c>
      <c r="J511" s="6" t="s">
        <v>504</v>
      </c>
      <c r="K511" s="24">
        <v>14</v>
      </c>
      <c r="L511" s="19">
        <f>0.1773*280.51*117.5809</f>
        <v>5847.8182173206997</v>
      </c>
      <c r="M511" s="19">
        <f t="shared" ref="M511:M518" si="33">L511*0.3</f>
        <v>1754.3454651962099</v>
      </c>
    </row>
    <row r="512" spans="1:13" ht="22.5" x14ac:dyDescent="0.25">
      <c r="A512" s="5" t="s">
        <v>495</v>
      </c>
      <c r="B512" s="6" t="s">
        <v>502</v>
      </c>
      <c r="C512" s="6" t="s">
        <v>15</v>
      </c>
      <c r="D512" s="6" t="s">
        <v>16</v>
      </c>
      <c r="E512" s="6" t="s">
        <v>3</v>
      </c>
      <c r="F512" s="6" t="s">
        <v>17</v>
      </c>
      <c r="G512" s="5" t="s">
        <v>619</v>
      </c>
      <c r="H512" s="6" t="s">
        <v>28</v>
      </c>
      <c r="I512" s="7">
        <v>1327</v>
      </c>
      <c r="J512" s="6" t="s">
        <v>504</v>
      </c>
      <c r="K512" s="24">
        <v>15</v>
      </c>
      <c r="L512" s="9">
        <f>0.1327*255.26*117.5809</f>
        <v>3982.8180608617999</v>
      </c>
      <c r="M512" s="9">
        <f t="shared" si="33"/>
        <v>1194.8454182585399</v>
      </c>
    </row>
    <row r="513" spans="1:13" ht="22.5" x14ac:dyDescent="0.25">
      <c r="A513" s="5" t="s">
        <v>495</v>
      </c>
      <c r="B513" s="6" t="s">
        <v>502</v>
      </c>
      <c r="C513" s="6" t="s">
        <v>15</v>
      </c>
      <c r="D513" s="6" t="s">
        <v>16</v>
      </c>
      <c r="E513" s="6" t="s">
        <v>3</v>
      </c>
      <c r="F513" s="6" t="s">
        <v>17</v>
      </c>
      <c r="G513" s="5" t="s">
        <v>620</v>
      </c>
      <c r="H513" s="6" t="s">
        <v>28</v>
      </c>
      <c r="I513" s="7">
        <v>1626</v>
      </c>
      <c r="J513" s="6" t="s">
        <v>504</v>
      </c>
      <c r="K513" s="24">
        <v>16</v>
      </c>
      <c r="L513" s="15">
        <f>0.1626*255.26*117.5809</f>
        <v>4880.2277068283993</v>
      </c>
      <c r="M513" s="15">
        <f t="shared" si="33"/>
        <v>1464.0683120485198</v>
      </c>
    </row>
    <row r="514" spans="1:13" ht="22.5" x14ac:dyDescent="0.25">
      <c r="A514" s="5" t="s">
        <v>495</v>
      </c>
      <c r="B514" s="6" t="s">
        <v>502</v>
      </c>
      <c r="C514" s="6" t="s">
        <v>15</v>
      </c>
      <c r="D514" s="6" t="s">
        <v>16</v>
      </c>
      <c r="E514" s="6" t="s">
        <v>3</v>
      </c>
      <c r="F514" s="6" t="s">
        <v>17</v>
      </c>
      <c r="G514" s="5" t="s">
        <v>621</v>
      </c>
      <c r="H514" s="6" t="s">
        <v>28</v>
      </c>
      <c r="I514" s="7">
        <v>7362</v>
      </c>
      <c r="J514" s="6" t="s">
        <v>622</v>
      </c>
      <c r="K514" s="24">
        <v>17</v>
      </c>
      <c r="L514" s="22">
        <f>0.7362*255.26*117.5809</f>
        <v>22096.086333130799</v>
      </c>
      <c r="M514" s="22">
        <f t="shared" si="33"/>
        <v>6628.8258999392392</v>
      </c>
    </row>
    <row r="515" spans="1:13" ht="33.75" x14ac:dyDescent="0.25">
      <c r="A515" s="5" t="s">
        <v>495</v>
      </c>
      <c r="B515" s="6" t="s">
        <v>502</v>
      </c>
      <c r="C515" s="6" t="s">
        <v>15</v>
      </c>
      <c r="D515" s="6" t="s">
        <v>16</v>
      </c>
      <c r="E515" s="6" t="s">
        <v>3</v>
      </c>
      <c r="F515" s="6" t="s">
        <v>17</v>
      </c>
      <c r="G515" s="5" t="s">
        <v>623</v>
      </c>
      <c r="H515" s="6" t="s">
        <v>179</v>
      </c>
      <c r="I515" s="7">
        <v>1759</v>
      </c>
      <c r="J515" s="6" t="s">
        <v>520</v>
      </c>
      <c r="K515" s="24">
        <v>18</v>
      </c>
      <c r="L515" s="19">
        <f>0.1759*280.51*117.5809</f>
        <v>5801.6425517581001</v>
      </c>
      <c r="M515" s="19">
        <f t="shared" si="33"/>
        <v>1740.49276552743</v>
      </c>
    </row>
    <row r="516" spans="1:13" ht="33.75" x14ac:dyDescent="0.25">
      <c r="A516" s="5" t="s">
        <v>495</v>
      </c>
      <c r="B516" s="6" t="s">
        <v>502</v>
      </c>
      <c r="C516" s="6" t="s">
        <v>15</v>
      </c>
      <c r="D516" s="6" t="s">
        <v>16</v>
      </c>
      <c r="E516" s="6" t="s">
        <v>3</v>
      </c>
      <c r="F516" s="6" t="s">
        <v>17</v>
      </c>
      <c r="G516" s="5" t="s">
        <v>624</v>
      </c>
      <c r="H516" s="6" t="s">
        <v>179</v>
      </c>
      <c r="I516" s="7">
        <v>466</v>
      </c>
      <c r="J516" s="6" t="s">
        <v>590</v>
      </c>
      <c r="K516" s="24">
        <v>19</v>
      </c>
      <c r="L516" s="22">
        <f>0.0466*280.51*117.5809</f>
        <v>1536.9900108694001</v>
      </c>
      <c r="M516" s="22">
        <f t="shared" si="33"/>
        <v>461.09700326081997</v>
      </c>
    </row>
    <row r="517" spans="1:13" ht="33.75" x14ac:dyDescent="0.25">
      <c r="A517" s="5" t="s">
        <v>495</v>
      </c>
      <c r="B517" s="6" t="s">
        <v>502</v>
      </c>
      <c r="C517" s="6" t="s">
        <v>15</v>
      </c>
      <c r="D517" s="6" t="s">
        <v>16</v>
      </c>
      <c r="E517" s="6" t="s">
        <v>3</v>
      </c>
      <c r="F517" s="6" t="s">
        <v>17</v>
      </c>
      <c r="G517" s="5" t="s">
        <v>625</v>
      </c>
      <c r="H517" s="6" t="s">
        <v>179</v>
      </c>
      <c r="I517" s="7">
        <v>247</v>
      </c>
      <c r="J517" s="6" t="s">
        <v>590</v>
      </c>
      <c r="K517" s="60">
        <v>20</v>
      </c>
      <c r="L517" s="21">
        <f>0.0247*280.51*117.5809</f>
        <v>814.67067099730002</v>
      </c>
      <c r="M517" s="21">
        <f t="shared" si="33"/>
        <v>244.40120129919001</v>
      </c>
    </row>
    <row r="518" spans="1:13" ht="33.75" x14ac:dyDescent="0.25">
      <c r="A518" s="5" t="s">
        <v>495</v>
      </c>
      <c r="B518" s="6" t="s">
        <v>502</v>
      </c>
      <c r="C518" s="6" t="s">
        <v>15</v>
      </c>
      <c r="D518" s="6" t="s">
        <v>16</v>
      </c>
      <c r="E518" s="6" t="s">
        <v>3</v>
      </c>
      <c r="F518" s="6" t="s">
        <v>17</v>
      </c>
      <c r="G518" s="5" t="s">
        <v>626</v>
      </c>
      <c r="H518" s="6" t="s">
        <v>179</v>
      </c>
      <c r="I518" s="7">
        <v>76</v>
      </c>
      <c r="J518" s="6" t="s">
        <v>590</v>
      </c>
      <c r="K518" s="61"/>
      <c r="L518" s="20">
        <f>0.0076*280.51*117.5809</f>
        <v>250.66789876840002</v>
      </c>
      <c r="M518" s="20">
        <f t="shared" si="33"/>
        <v>75.200369630520001</v>
      </c>
    </row>
    <row r="519" spans="1:13" x14ac:dyDescent="0.25">
      <c r="A519" s="5"/>
      <c r="B519" s="6"/>
      <c r="C519" s="6"/>
      <c r="D519" s="6"/>
      <c r="E519" s="6"/>
      <c r="F519" s="6"/>
      <c r="G519" s="5"/>
      <c r="H519" s="13" t="s">
        <v>25</v>
      </c>
      <c r="I519" s="7">
        <f>SUM(I517:I518)</f>
        <v>323</v>
      </c>
      <c r="J519" s="6"/>
      <c r="K519" s="62"/>
      <c r="L519" s="37">
        <f>SUM(L517:L518)</f>
        <v>1065.3385697657</v>
      </c>
      <c r="M519" s="37">
        <f>SUM(M517:M518)</f>
        <v>319.60157092971002</v>
      </c>
    </row>
    <row r="520" spans="1:13" ht="33.75" x14ac:dyDescent="0.25">
      <c r="A520" s="5" t="s">
        <v>495</v>
      </c>
      <c r="B520" s="6" t="s">
        <v>502</v>
      </c>
      <c r="C520" s="6" t="s">
        <v>15</v>
      </c>
      <c r="D520" s="6" t="s">
        <v>16</v>
      </c>
      <c r="E520" s="6" t="s">
        <v>3</v>
      </c>
      <c r="F520" s="6" t="s">
        <v>17</v>
      </c>
      <c r="G520" s="5" t="s">
        <v>627</v>
      </c>
      <c r="H520" s="6" t="s">
        <v>179</v>
      </c>
      <c r="I520" s="7">
        <v>1243</v>
      </c>
      <c r="J520" s="6" t="s">
        <v>520</v>
      </c>
      <c r="K520" s="24">
        <v>21</v>
      </c>
      <c r="L520" s="22">
        <f>0.1243*280.51*117.5809</f>
        <v>4099.7394495936996</v>
      </c>
      <c r="M520" s="22">
        <f>L520*0.3</f>
        <v>1229.9218348781098</v>
      </c>
    </row>
    <row r="521" spans="1:13" ht="22.5" x14ac:dyDescent="0.25">
      <c r="A521" s="5" t="s">
        <v>495</v>
      </c>
      <c r="B521" s="6" t="s">
        <v>502</v>
      </c>
      <c r="C521" s="6" t="s">
        <v>15</v>
      </c>
      <c r="D521" s="6" t="s">
        <v>16</v>
      </c>
      <c r="E521" s="6" t="s">
        <v>3</v>
      </c>
      <c r="F521" s="6" t="s">
        <v>17</v>
      </c>
      <c r="G521" s="5" t="s">
        <v>628</v>
      </c>
      <c r="H521" s="6" t="s">
        <v>24</v>
      </c>
      <c r="I521" s="7">
        <v>1632</v>
      </c>
      <c r="J521" s="6" t="s">
        <v>629</v>
      </c>
      <c r="K521" s="24">
        <v>22</v>
      </c>
      <c r="L521" s="15">
        <f>0.1632*227.21*117.5809</f>
        <v>4359.9787863648007</v>
      </c>
      <c r="M521" s="19">
        <f>L521*0.3</f>
        <v>1307.9936359094402</v>
      </c>
    </row>
    <row r="522" spans="1:13" ht="45" x14ac:dyDescent="0.25">
      <c r="A522" s="5" t="s">
        <v>495</v>
      </c>
      <c r="B522" s="6" t="s">
        <v>502</v>
      </c>
      <c r="C522" s="6" t="s">
        <v>15</v>
      </c>
      <c r="D522" s="6" t="s">
        <v>16</v>
      </c>
      <c r="E522" s="6" t="s">
        <v>3</v>
      </c>
      <c r="F522" s="6" t="s">
        <v>17</v>
      </c>
      <c r="G522" s="5" t="s">
        <v>630</v>
      </c>
      <c r="H522" s="6" t="s">
        <v>213</v>
      </c>
      <c r="I522" s="7">
        <v>7703</v>
      </c>
      <c r="J522" s="6" t="s">
        <v>631</v>
      </c>
      <c r="K522" s="60">
        <v>23</v>
      </c>
      <c r="L522" s="20">
        <f>0.7703*84.15*117.5809</f>
        <v>7621.6815357705</v>
      </c>
      <c r="M522" s="20">
        <f>L522*0.3</f>
        <v>2286.5044607311497</v>
      </c>
    </row>
    <row r="523" spans="1:13" ht="45" x14ac:dyDescent="0.25">
      <c r="A523" s="5" t="s">
        <v>495</v>
      </c>
      <c r="B523" s="6" t="s">
        <v>502</v>
      </c>
      <c r="C523" s="6" t="s">
        <v>15</v>
      </c>
      <c r="D523" s="6" t="s">
        <v>16</v>
      </c>
      <c r="E523" s="6" t="s">
        <v>3</v>
      </c>
      <c r="F523" s="6" t="s">
        <v>17</v>
      </c>
      <c r="G523" s="5" t="s">
        <v>632</v>
      </c>
      <c r="H523" s="6" t="s">
        <v>28</v>
      </c>
      <c r="I523" s="7">
        <v>4760</v>
      </c>
      <c r="J523" s="6" t="s">
        <v>631</v>
      </c>
      <c r="K523" s="61"/>
      <c r="L523" s="21">
        <f>0.476*255.26*117.5809</f>
        <v>14286.521454183998</v>
      </c>
      <c r="M523" s="21">
        <f>L523*0.3</f>
        <v>4285.9564362551992</v>
      </c>
    </row>
    <row r="524" spans="1:13" x14ac:dyDescent="0.25">
      <c r="A524" s="5"/>
      <c r="B524" s="6"/>
      <c r="C524" s="6"/>
      <c r="D524" s="6"/>
      <c r="E524" s="6"/>
      <c r="F524" s="6"/>
      <c r="G524" s="5"/>
      <c r="H524" s="13" t="s">
        <v>25</v>
      </c>
      <c r="I524" s="7">
        <f>SUM(I522:I523)</f>
        <v>12463</v>
      </c>
      <c r="J524" s="6"/>
      <c r="K524" s="62"/>
      <c r="L524" s="38">
        <f>SUM(L522:L523)</f>
        <v>21908.202989954498</v>
      </c>
      <c r="M524" s="38">
        <f>SUM(M522:M523)</f>
        <v>6572.4608969863493</v>
      </c>
    </row>
    <row r="525" spans="1:13" ht="22.5" x14ac:dyDescent="0.25">
      <c r="A525" s="5" t="s">
        <v>495</v>
      </c>
      <c r="B525" s="6" t="s">
        <v>502</v>
      </c>
      <c r="C525" s="6" t="s">
        <v>15</v>
      </c>
      <c r="D525" s="6" t="s">
        <v>16</v>
      </c>
      <c r="E525" s="6" t="s">
        <v>3</v>
      </c>
      <c r="F525" s="6" t="s">
        <v>17</v>
      </c>
      <c r="G525" s="5" t="s">
        <v>633</v>
      </c>
      <c r="H525" s="6" t="s">
        <v>28</v>
      </c>
      <c r="I525" s="7">
        <v>114583</v>
      </c>
      <c r="J525" s="6" t="s">
        <v>634</v>
      </c>
      <c r="K525" s="24">
        <v>24</v>
      </c>
      <c r="L525" s="19">
        <f>11.4583*255.26*117.5809</f>
        <v>343905.98482873215</v>
      </c>
      <c r="M525" s="19">
        <f>L525*0.3</f>
        <v>103171.79544861964</v>
      </c>
    </row>
    <row r="526" spans="1:13" ht="22.5" x14ac:dyDescent="0.25">
      <c r="A526" s="5" t="s">
        <v>495</v>
      </c>
      <c r="B526" s="6" t="s">
        <v>502</v>
      </c>
      <c r="C526" s="6" t="s">
        <v>15</v>
      </c>
      <c r="D526" s="6" t="s">
        <v>16</v>
      </c>
      <c r="E526" s="6" t="s">
        <v>3</v>
      </c>
      <c r="F526" s="6" t="s">
        <v>17</v>
      </c>
      <c r="G526" s="5" t="s">
        <v>635</v>
      </c>
      <c r="H526" s="6" t="s">
        <v>179</v>
      </c>
      <c r="I526" s="7">
        <v>2197</v>
      </c>
      <c r="J526" s="6" t="s">
        <v>636</v>
      </c>
      <c r="K526" s="60">
        <v>25</v>
      </c>
      <c r="L526" s="20">
        <f>0.2197*280.51*117.5809</f>
        <v>7246.2812315023002</v>
      </c>
      <c r="M526" s="20">
        <f>L526*0.3</f>
        <v>2173.88436945069</v>
      </c>
    </row>
    <row r="527" spans="1:13" ht="22.5" x14ac:dyDescent="0.25">
      <c r="A527" s="5" t="s">
        <v>495</v>
      </c>
      <c r="B527" s="6" t="s">
        <v>502</v>
      </c>
      <c r="C527" s="6" t="s">
        <v>15</v>
      </c>
      <c r="D527" s="6" t="s">
        <v>16</v>
      </c>
      <c r="E527" s="6" t="s">
        <v>3</v>
      </c>
      <c r="F527" s="6" t="s">
        <v>17</v>
      </c>
      <c r="G527" s="5" t="s">
        <v>637</v>
      </c>
      <c r="H527" s="6" t="s">
        <v>179</v>
      </c>
      <c r="I527" s="7">
        <v>959</v>
      </c>
      <c r="J527" s="6" t="s">
        <v>636</v>
      </c>
      <c r="K527" s="61"/>
      <c r="L527" s="21">
        <f>0.0959*280.51*117.5809</f>
        <v>3163.0330910380999</v>
      </c>
      <c r="M527" s="21">
        <f>L527*0.3</f>
        <v>948.9099273114299</v>
      </c>
    </row>
    <row r="528" spans="1:13" ht="22.5" x14ac:dyDescent="0.25">
      <c r="A528" s="5" t="s">
        <v>495</v>
      </c>
      <c r="B528" s="6" t="s">
        <v>502</v>
      </c>
      <c r="C528" s="6" t="s">
        <v>15</v>
      </c>
      <c r="D528" s="6" t="s">
        <v>16</v>
      </c>
      <c r="E528" s="6" t="s">
        <v>3</v>
      </c>
      <c r="F528" s="6" t="s">
        <v>17</v>
      </c>
      <c r="G528" s="5" t="s">
        <v>638</v>
      </c>
      <c r="H528" s="6" t="s">
        <v>179</v>
      </c>
      <c r="I528" s="7">
        <v>2567</v>
      </c>
      <c r="J528" s="6" t="s">
        <v>636</v>
      </c>
      <c r="K528" s="61"/>
      <c r="L528" s="20">
        <f>0.2567*280.51*117.5809</f>
        <v>8466.6381070852985</v>
      </c>
      <c r="M528" s="20">
        <f>L528*0.3</f>
        <v>2539.9914321255897</v>
      </c>
    </row>
    <row r="529" spans="1:13" x14ac:dyDescent="0.25">
      <c r="A529" s="5"/>
      <c r="B529" s="6"/>
      <c r="C529" s="6"/>
      <c r="D529" s="6"/>
      <c r="E529" s="6"/>
      <c r="F529" s="6"/>
      <c r="G529" s="5"/>
      <c r="H529" s="13" t="s">
        <v>25</v>
      </c>
      <c r="I529" s="7">
        <f>SUM(I526:I528)</f>
        <v>5723</v>
      </c>
      <c r="J529" s="6"/>
      <c r="K529" s="62"/>
      <c r="L529" s="37">
        <f>SUM(L526:L528)</f>
        <v>18875.9524296257</v>
      </c>
      <c r="M529" s="37">
        <f>SUM(M526:M528)</f>
        <v>5662.7857288877094</v>
      </c>
    </row>
    <row r="530" spans="1:13" ht="22.5" x14ac:dyDescent="0.25">
      <c r="A530" s="5" t="s">
        <v>495</v>
      </c>
      <c r="B530" s="6" t="s">
        <v>502</v>
      </c>
      <c r="C530" s="6" t="s">
        <v>15</v>
      </c>
      <c r="D530" s="6" t="s">
        <v>16</v>
      </c>
      <c r="E530" s="6" t="s">
        <v>3</v>
      </c>
      <c r="F530" s="6" t="s">
        <v>17</v>
      </c>
      <c r="G530" s="5" t="s">
        <v>639</v>
      </c>
      <c r="H530" s="6" t="s">
        <v>179</v>
      </c>
      <c r="I530" s="7">
        <v>801</v>
      </c>
      <c r="J530" s="6" t="s">
        <v>636</v>
      </c>
      <c r="K530" s="24">
        <v>26</v>
      </c>
      <c r="L530" s="22">
        <f>0.0801*280.51*117.5809</f>
        <v>2641.9077225459</v>
      </c>
      <c r="M530" s="22">
        <f t="shared" ref="M530:M536" si="34">L530*0.3</f>
        <v>792.57231676377</v>
      </c>
    </row>
    <row r="531" spans="1:13" ht="22.5" x14ac:dyDescent="0.25">
      <c r="A531" s="5" t="s">
        <v>495</v>
      </c>
      <c r="B531" s="6" t="s">
        <v>502</v>
      </c>
      <c r="C531" s="6" t="s">
        <v>15</v>
      </c>
      <c r="D531" s="6" t="s">
        <v>16</v>
      </c>
      <c r="E531" s="6" t="s">
        <v>3</v>
      </c>
      <c r="F531" s="6" t="s">
        <v>17</v>
      </c>
      <c r="G531" s="5" t="s">
        <v>640</v>
      </c>
      <c r="H531" s="6" t="s">
        <v>99</v>
      </c>
      <c r="I531" s="7">
        <v>885</v>
      </c>
      <c r="J531" s="6" t="s">
        <v>641</v>
      </c>
      <c r="K531" s="24">
        <v>27</v>
      </c>
      <c r="L531" s="19">
        <f>0.0885*76.58*117.5809</f>
        <v>796.88456099699988</v>
      </c>
      <c r="M531" s="19">
        <f t="shared" si="34"/>
        <v>239.06536829909996</v>
      </c>
    </row>
    <row r="532" spans="1:13" ht="22.5" x14ac:dyDescent="0.25">
      <c r="A532" s="5" t="s">
        <v>495</v>
      </c>
      <c r="B532" s="6" t="s">
        <v>502</v>
      </c>
      <c r="C532" s="6" t="s">
        <v>15</v>
      </c>
      <c r="D532" s="6" t="s">
        <v>16</v>
      </c>
      <c r="E532" s="6" t="s">
        <v>3</v>
      </c>
      <c r="F532" s="6" t="s">
        <v>17</v>
      </c>
      <c r="G532" s="5" t="s">
        <v>642</v>
      </c>
      <c r="H532" s="6" t="s">
        <v>179</v>
      </c>
      <c r="I532" s="7">
        <v>1708</v>
      </c>
      <c r="J532" s="6" t="s">
        <v>641</v>
      </c>
      <c r="K532" s="24">
        <v>28</v>
      </c>
      <c r="L532" s="22">
        <f>0.1708*280.51*117.5809</f>
        <v>5633.4311986371995</v>
      </c>
      <c r="M532" s="22">
        <f t="shared" si="34"/>
        <v>1690.0293595911598</v>
      </c>
    </row>
    <row r="533" spans="1:13" ht="22.5" x14ac:dyDescent="0.25">
      <c r="A533" s="5" t="s">
        <v>495</v>
      </c>
      <c r="B533" s="6" t="s">
        <v>502</v>
      </c>
      <c r="C533" s="6" t="s">
        <v>15</v>
      </c>
      <c r="D533" s="6" t="s">
        <v>16</v>
      </c>
      <c r="E533" s="6" t="s">
        <v>3</v>
      </c>
      <c r="F533" s="6" t="s">
        <v>17</v>
      </c>
      <c r="G533" s="5" t="s">
        <v>643</v>
      </c>
      <c r="H533" s="6" t="s">
        <v>179</v>
      </c>
      <c r="I533" s="7">
        <v>3573</v>
      </c>
      <c r="J533" s="6" t="s">
        <v>641</v>
      </c>
      <c r="K533" s="24">
        <v>29</v>
      </c>
      <c r="L533" s="19">
        <f>0.3573*280.51*117.5809</f>
        <v>11784.689503940701</v>
      </c>
      <c r="M533" s="19">
        <f t="shared" si="34"/>
        <v>3535.4068511822102</v>
      </c>
    </row>
    <row r="534" spans="1:13" ht="22.5" x14ac:dyDescent="0.25">
      <c r="A534" s="5" t="s">
        <v>495</v>
      </c>
      <c r="B534" s="6" t="s">
        <v>502</v>
      </c>
      <c r="C534" s="6" t="s">
        <v>15</v>
      </c>
      <c r="D534" s="6" t="s">
        <v>16</v>
      </c>
      <c r="E534" s="6" t="s">
        <v>3</v>
      </c>
      <c r="F534" s="6" t="s">
        <v>17</v>
      </c>
      <c r="G534" s="5" t="s">
        <v>644</v>
      </c>
      <c r="H534" s="6" t="s">
        <v>645</v>
      </c>
      <c r="I534" s="7">
        <v>3250</v>
      </c>
      <c r="J534" s="6" t="s">
        <v>646</v>
      </c>
      <c r="K534" s="24">
        <v>30</v>
      </c>
      <c r="L534" s="22">
        <f>0.325*280.51*117.5809</f>
        <v>10719.350934175</v>
      </c>
      <c r="M534" s="22">
        <f t="shared" si="34"/>
        <v>3215.8052802524999</v>
      </c>
    </row>
    <row r="535" spans="1:13" ht="33.75" x14ac:dyDescent="0.25">
      <c r="A535" s="5" t="s">
        <v>495</v>
      </c>
      <c r="B535" s="6" t="s">
        <v>502</v>
      </c>
      <c r="C535" s="6" t="s">
        <v>15</v>
      </c>
      <c r="D535" s="6" t="s">
        <v>16</v>
      </c>
      <c r="E535" s="6" t="s">
        <v>3</v>
      </c>
      <c r="F535" s="6" t="s">
        <v>17</v>
      </c>
      <c r="G535" s="5" t="s">
        <v>647</v>
      </c>
      <c r="H535" s="6" t="s">
        <v>179</v>
      </c>
      <c r="I535" s="7">
        <v>2060</v>
      </c>
      <c r="J535" s="6" t="s">
        <v>648</v>
      </c>
      <c r="K535" s="60">
        <v>31</v>
      </c>
      <c r="L535" s="21">
        <f>0.206*280.51*117.5809</f>
        <v>6794.4193613539992</v>
      </c>
      <c r="M535" s="21">
        <f t="shared" si="34"/>
        <v>2038.3258084061997</v>
      </c>
    </row>
    <row r="536" spans="1:13" ht="33.75" x14ac:dyDescent="0.25">
      <c r="A536" s="5" t="s">
        <v>495</v>
      </c>
      <c r="B536" s="6" t="s">
        <v>502</v>
      </c>
      <c r="C536" s="6" t="s">
        <v>15</v>
      </c>
      <c r="D536" s="6" t="s">
        <v>16</v>
      </c>
      <c r="E536" s="6" t="s">
        <v>3</v>
      </c>
      <c r="F536" s="6" t="s">
        <v>17</v>
      </c>
      <c r="G536" s="5" t="s">
        <v>649</v>
      </c>
      <c r="H536" s="6" t="s">
        <v>179</v>
      </c>
      <c r="I536" s="7">
        <v>119</v>
      </c>
      <c r="J536" s="6" t="s">
        <v>648</v>
      </c>
      <c r="K536" s="61"/>
      <c r="L536" s="20">
        <f>0.0119*280.51*117.5809</f>
        <v>392.49315728210001</v>
      </c>
      <c r="M536" s="20">
        <f t="shared" si="34"/>
        <v>117.74794718462999</v>
      </c>
    </row>
    <row r="537" spans="1:13" ht="33.75" x14ac:dyDescent="0.25">
      <c r="A537" s="5" t="s">
        <v>495</v>
      </c>
      <c r="B537" s="6" t="s">
        <v>502</v>
      </c>
      <c r="C537" s="6" t="s">
        <v>15</v>
      </c>
      <c r="D537" s="6" t="s">
        <v>16</v>
      </c>
      <c r="E537" s="6" t="s">
        <v>3</v>
      </c>
      <c r="F537" s="6" t="s">
        <v>17</v>
      </c>
      <c r="G537" s="5" t="s">
        <v>650</v>
      </c>
      <c r="H537" s="6" t="s">
        <v>179</v>
      </c>
      <c r="I537" s="7">
        <v>281</v>
      </c>
      <c r="J537" s="6" t="s">
        <v>648</v>
      </c>
      <c r="K537" s="61"/>
      <c r="L537" s="21">
        <f>0.0281*280.51*117.5809</f>
        <v>926.81157307789999</v>
      </c>
      <c r="M537" s="21">
        <f>L537*0.3</f>
        <v>278.04347192336996</v>
      </c>
    </row>
    <row r="538" spans="1:13" ht="33.75" x14ac:dyDescent="0.25">
      <c r="A538" s="5" t="s">
        <v>495</v>
      </c>
      <c r="B538" s="6" t="s">
        <v>502</v>
      </c>
      <c r="C538" s="6" t="s">
        <v>15</v>
      </c>
      <c r="D538" s="6" t="s">
        <v>16</v>
      </c>
      <c r="E538" s="6" t="s">
        <v>3</v>
      </c>
      <c r="F538" s="6" t="s">
        <v>17</v>
      </c>
      <c r="G538" s="5" t="s">
        <v>651</v>
      </c>
      <c r="H538" s="6" t="s">
        <v>179</v>
      </c>
      <c r="I538" s="7">
        <v>1458</v>
      </c>
      <c r="J538" s="6" t="s">
        <v>648</v>
      </c>
      <c r="K538" s="61"/>
      <c r="L538" s="20">
        <f>0.1458*280.51*117.5809</f>
        <v>4808.8657421622001</v>
      </c>
      <c r="M538" s="20">
        <f>L538*0.3</f>
        <v>1442.6597226486599</v>
      </c>
    </row>
    <row r="539" spans="1:13" ht="33.75" x14ac:dyDescent="0.25">
      <c r="A539" s="5" t="s">
        <v>495</v>
      </c>
      <c r="B539" s="6" t="s">
        <v>502</v>
      </c>
      <c r="C539" s="6" t="s">
        <v>15</v>
      </c>
      <c r="D539" s="6" t="s">
        <v>16</v>
      </c>
      <c r="E539" s="6" t="s">
        <v>3</v>
      </c>
      <c r="F539" s="6" t="s">
        <v>17</v>
      </c>
      <c r="G539" s="5" t="s">
        <v>652</v>
      </c>
      <c r="H539" s="6" t="s">
        <v>179</v>
      </c>
      <c r="I539" s="7">
        <v>63</v>
      </c>
      <c r="J539" s="6" t="s">
        <v>648</v>
      </c>
      <c r="K539" s="61"/>
      <c r="L539" s="21">
        <f>0.0063*280.51*117.5809</f>
        <v>207.7904950317</v>
      </c>
      <c r="M539" s="21">
        <f>L539*0.3</f>
        <v>62.337148509510001</v>
      </c>
    </row>
    <row r="540" spans="1:13" x14ac:dyDescent="0.25">
      <c r="A540" s="5"/>
      <c r="B540" s="6"/>
      <c r="C540" s="6"/>
      <c r="D540" s="6"/>
      <c r="E540" s="6"/>
      <c r="F540" s="6"/>
      <c r="G540" s="5"/>
      <c r="H540" s="13" t="s">
        <v>25</v>
      </c>
      <c r="I540" s="7">
        <f>SUM(I535:I539)</f>
        <v>3981</v>
      </c>
      <c r="J540" s="6"/>
      <c r="K540" s="62"/>
      <c r="L540" s="38">
        <f>SUM(L535:L539)</f>
        <v>13130.380328907899</v>
      </c>
      <c r="M540" s="38">
        <f>SUM(M535:M539)</f>
        <v>3939.1140986723699</v>
      </c>
    </row>
    <row r="541" spans="1:13" ht="33.75" x14ac:dyDescent="0.25">
      <c r="A541" s="5" t="s">
        <v>495</v>
      </c>
      <c r="B541" s="6" t="s">
        <v>502</v>
      </c>
      <c r="C541" s="6" t="s">
        <v>15</v>
      </c>
      <c r="D541" s="6" t="s">
        <v>16</v>
      </c>
      <c r="E541" s="6" t="s">
        <v>3</v>
      </c>
      <c r="F541" s="6" t="s">
        <v>17</v>
      </c>
      <c r="G541" s="5" t="s">
        <v>653</v>
      </c>
      <c r="H541" s="6" t="s">
        <v>179</v>
      </c>
      <c r="I541" s="7">
        <v>866</v>
      </c>
      <c r="J541" s="6" t="s">
        <v>648</v>
      </c>
      <c r="K541" s="60">
        <v>32</v>
      </c>
      <c r="L541" s="21">
        <f>0.0866*280.51*117.5809</f>
        <v>2856.2947412293997</v>
      </c>
      <c r="M541" s="21">
        <f t="shared" ref="M541:M546" si="35">L541*0.3</f>
        <v>856.88842236881987</v>
      </c>
    </row>
    <row r="542" spans="1:13" ht="33.75" x14ac:dyDescent="0.25">
      <c r="A542" s="5" t="s">
        <v>495</v>
      </c>
      <c r="B542" s="6" t="s">
        <v>502</v>
      </c>
      <c r="C542" s="6" t="s">
        <v>15</v>
      </c>
      <c r="D542" s="6" t="s">
        <v>16</v>
      </c>
      <c r="E542" s="6" t="s">
        <v>3</v>
      </c>
      <c r="F542" s="6" t="s">
        <v>17</v>
      </c>
      <c r="G542" s="5" t="s">
        <v>654</v>
      </c>
      <c r="H542" s="6" t="s">
        <v>179</v>
      </c>
      <c r="I542" s="7">
        <v>1032</v>
      </c>
      <c r="J542" s="6" t="s">
        <v>648</v>
      </c>
      <c r="K542" s="61"/>
      <c r="L542" s="20">
        <f>0.1032*280.51*117.5809</f>
        <v>3403.8062043288</v>
      </c>
      <c r="M542" s="20">
        <f t="shared" si="35"/>
        <v>1021.1418612986399</v>
      </c>
    </row>
    <row r="543" spans="1:13" ht="33.75" x14ac:dyDescent="0.25">
      <c r="A543" s="5" t="s">
        <v>495</v>
      </c>
      <c r="B543" s="6" t="s">
        <v>502</v>
      </c>
      <c r="C543" s="6" t="s">
        <v>15</v>
      </c>
      <c r="D543" s="6" t="s">
        <v>16</v>
      </c>
      <c r="E543" s="6" t="s">
        <v>3</v>
      </c>
      <c r="F543" s="6" t="s">
        <v>17</v>
      </c>
      <c r="G543" s="5" t="s">
        <v>655</v>
      </c>
      <c r="H543" s="6" t="s">
        <v>179</v>
      </c>
      <c r="I543" s="7">
        <v>1176</v>
      </c>
      <c r="J543" s="6" t="s">
        <v>648</v>
      </c>
      <c r="K543" s="61"/>
      <c r="L543" s="21">
        <f>0.1176*280.51*117.5809</f>
        <v>3878.7559072583995</v>
      </c>
      <c r="M543" s="21">
        <f t="shared" si="35"/>
        <v>1163.6267721775198</v>
      </c>
    </row>
    <row r="544" spans="1:13" ht="33.75" x14ac:dyDescent="0.25">
      <c r="A544" s="5" t="s">
        <v>495</v>
      </c>
      <c r="B544" s="6" t="s">
        <v>502</v>
      </c>
      <c r="C544" s="6" t="s">
        <v>15</v>
      </c>
      <c r="D544" s="6" t="s">
        <v>16</v>
      </c>
      <c r="E544" s="6" t="s">
        <v>3</v>
      </c>
      <c r="F544" s="6" t="s">
        <v>17</v>
      </c>
      <c r="G544" s="5" t="s">
        <v>656</v>
      </c>
      <c r="H544" s="6" t="s">
        <v>179</v>
      </c>
      <c r="I544" s="7">
        <v>492</v>
      </c>
      <c r="J544" s="6" t="s">
        <v>648</v>
      </c>
      <c r="K544" s="61"/>
      <c r="L544" s="20">
        <f>0.0492*280.51*117.5809</f>
        <v>1622.7448183428</v>
      </c>
      <c r="M544" s="20">
        <f t="shared" si="35"/>
        <v>486.82344550284</v>
      </c>
    </row>
    <row r="545" spans="1:13" ht="33.75" x14ac:dyDescent="0.25">
      <c r="A545" s="5" t="s">
        <v>495</v>
      </c>
      <c r="B545" s="6" t="s">
        <v>502</v>
      </c>
      <c r="C545" s="6" t="s">
        <v>15</v>
      </c>
      <c r="D545" s="6" t="s">
        <v>16</v>
      </c>
      <c r="E545" s="6" t="s">
        <v>3</v>
      </c>
      <c r="F545" s="6" t="s">
        <v>17</v>
      </c>
      <c r="G545" s="5" t="s">
        <v>657</v>
      </c>
      <c r="H545" s="6" t="s">
        <v>179</v>
      </c>
      <c r="I545" s="7">
        <v>1591</v>
      </c>
      <c r="J545" s="6" t="s">
        <v>648</v>
      </c>
      <c r="K545" s="61"/>
      <c r="L545" s="21">
        <f>0.1591*280.51*117.5809</f>
        <v>5247.5345650068994</v>
      </c>
      <c r="M545" s="21">
        <f t="shared" si="35"/>
        <v>1574.2603695020698</v>
      </c>
    </row>
    <row r="546" spans="1:13" ht="33.75" x14ac:dyDescent="0.25">
      <c r="A546" s="5" t="s">
        <v>495</v>
      </c>
      <c r="B546" s="6" t="s">
        <v>502</v>
      </c>
      <c r="C546" s="6" t="s">
        <v>15</v>
      </c>
      <c r="D546" s="6" t="s">
        <v>16</v>
      </c>
      <c r="E546" s="6" t="s">
        <v>3</v>
      </c>
      <c r="F546" s="6" t="s">
        <v>17</v>
      </c>
      <c r="G546" s="5" t="s">
        <v>658</v>
      </c>
      <c r="H546" s="6" t="s">
        <v>179</v>
      </c>
      <c r="I546" s="7">
        <v>1397</v>
      </c>
      <c r="J546" s="6" t="s">
        <v>648</v>
      </c>
      <c r="K546" s="61"/>
      <c r="L546" s="20">
        <f>0.1397*280.51*117.5809</f>
        <v>4607.6717707823</v>
      </c>
      <c r="M546" s="20">
        <f t="shared" si="35"/>
        <v>1382.3015312346899</v>
      </c>
    </row>
    <row r="547" spans="1:13" x14ac:dyDescent="0.25">
      <c r="A547" s="5"/>
      <c r="B547" s="6"/>
      <c r="C547" s="6"/>
      <c r="D547" s="6"/>
      <c r="E547" s="6"/>
      <c r="F547" s="6"/>
      <c r="G547" s="5"/>
      <c r="H547" s="13" t="s">
        <v>25</v>
      </c>
      <c r="I547" s="7">
        <f>SUM(I541:I546)</f>
        <v>6554</v>
      </c>
      <c r="J547" s="6"/>
      <c r="K547" s="62"/>
      <c r="L547" s="37">
        <f>SUM(L541:L546)</f>
        <v>21616.808006948599</v>
      </c>
      <c r="M547" s="37">
        <f>SUM(M541:M546)</f>
        <v>6485.0424020845794</v>
      </c>
    </row>
    <row r="548" spans="1:13" ht="33.75" x14ac:dyDescent="0.25">
      <c r="A548" s="5" t="s">
        <v>495</v>
      </c>
      <c r="B548" s="6" t="s">
        <v>502</v>
      </c>
      <c r="C548" s="6" t="s">
        <v>15</v>
      </c>
      <c r="D548" s="6" t="s">
        <v>16</v>
      </c>
      <c r="E548" s="6" t="s">
        <v>3</v>
      </c>
      <c r="F548" s="6" t="s">
        <v>17</v>
      </c>
      <c r="G548" s="5" t="s">
        <v>659</v>
      </c>
      <c r="H548" s="6" t="s">
        <v>179</v>
      </c>
      <c r="I548" s="7">
        <v>3697</v>
      </c>
      <c r="J548" s="6" t="s">
        <v>648</v>
      </c>
      <c r="K548" s="60">
        <v>33</v>
      </c>
      <c r="L548" s="20">
        <f>0.3697*280.51*117.5809</f>
        <v>12193.673970352298</v>
      </c>
      <c r="M548" s="20">
        <f>L548*0.3</f>
        <v>3658.1021911056891</v>
      </c>
    </row>
    <row r="549" spans="1:13" ht="33.75" x14ac:dyDescent="0.25">
      <c r="A549" s="5" t="s">
        <v>495</v>
      </c>
      <c r="B549" s="6" t="s">
        <v>502</v>
      </c>
      <c r="C549" s="6" t="s">
        <v>15</v>
      </c>
      <c r="D549" s="6" t="s">
        <v>16</v>
      </c>
      <c r="E549" s="6" t="s">
        <v>3</v>
      </c>
      <c r="F549" s="6" t="s">
        <v>17</v>
      </c>
      <c r="G549" s="5" t="s">
        <v>660</v>
      </c>
      <c r="H549" s="6" t="s">
        <v>179</v>
      </c>
      <c r="I549" s="7">
        <v>183</v>
      </c>
      <c r="J549" s="6" t="s">
        <v>648</v>
      </c>
      <c r="K549" s="61"/>
      <c r="L549" s="21">
        <f>0.0183*280.51*117.5809</f>
        <v>603.58191413969996</v>
      </c>
      <c r="M549" s="21">
        <f>L549*0.3</f>
        <v>181.07457424190997</v>
      </c>
    </row>
    <row r="550" spans="1:13" ht="33.75" x14ac:dyDescent="0.25">
      <c r="A550" s="5" t="s">
        <v>495</v>
      </c>
      <c r="B550" s="6" t="s">
        <v>502</v>
      </c>
      <c r="C550" s="6" t="s">
        <v>15</v>
      </c>
      <c r="D550" s="6" t="s">
        <v>16</v>
      </c>
      <c r="E550" s="6" t="s">
        <v>3</v>
      </c>
      <c r="F550" s="6" t="s">
        <v>17</v>
      </c>
      <c r="G550" s="5" t="s">
        <v>661</v>
      </c>
      <c r="H550" s="6" t="s">
        <v>179</v>
      </c>
      <c r="I550" s="7">
        <v>1453</v>
      </c>
      <c r="J550" s="6" t="s">
        <v>648</v>
      </c>
      <c r="K550" s="61"/>
      <c r="L550" s="20">
        <f>0.1453*280.51*117.5809</f>
        <v>4792.3744330327008</v>
      </c>
      <c r="M550" s="20">
        <f>L550*0.3</f>
        <v>1437.7123299098103</v>
      </c>
    </row>
    <row r="551" spans="1:13" ht="33.75" x14ac:dyDescent="0.25">
      <c r="A551" s="5" t="s">
        <v>495</v>
      </c>
      <c r="B551" s="6" t="s">
        <v>502</v>
      </c>
      <c r="C551" s="6" t="s">
        <v>15</v>
      </c>
      <c r="D551" s="6" t="s">
        <v>16</v>
      </c>
      <c r="E551" s="6" t="s">
        <v>3</v>
      </c>
      <c r="F551" s="6" t="s">
        <v>17</v>
      </c>
      <c r="G551" s="5" t="s">
        <v>662</v>
      </c>
      <c r="H551" s="6" t="s">
        <v>179</v>
      </c>
      <c r="I551" s="7">
        <v>1430</v>
      </c>
      <c r="J551" s="6" t="s">
        <v>648</v>
      </c>
      <c r="K551" s="61"/>
      <c r="L551" s="21">
        <f>0.143*280.51*117.5809</f>
        <v>4716.5144110370002</v>
      </c>
      <c r="M551" s="21">
        <f>L551*0.3</f>
        <v>1414.9543233111001</v>
      </c>
    </row>
    <row r="552" spans="1:13" ht="33.75" x14ac:dyDescent="0.25">
      <c r="A552" s="5" t="s">
        <v>495</v>
      </c>
      <c r="B552" s="6" t="s">
        <v>502</v>
      </c>
      <c r="C552" s="6" t="s">
        <v>15</v>
      </c>
      <c r="D552" s="6" t="s">
        <v>16</v>
      </c>
      <c r="E552" s="6" t="s">
        <v>3</v>
      </c>
      <c r="F552" s="6" t="s">
        <v>17</v>
      </c>
      <c r="G552" s="5" t="s">
        <v>663</v>
      </c>
      <c r="H552" s="6" t="s">
        <v>179</v>
      </c>
      <c r="I552" s="7">
        <v>171</v>
      </c>
      <c r="J552" s="6" t="s">
        <v>648</v>
      </c>
      <c r="K552" s="61"/>
      <c r="L552" s="20">
        <f>0.0171*280.51*117.5809</f>
        <v>564.00277222889997</v>
      </c>
      <c r="M552" s="20">
        <f>L552*0.3</f>
        <v>169.20083166866999</v>
      </c>
    </row>
    <row r="553" spans="1:13" x14ac:dyDescent="0.25">
      <c r="A553" s="5"/>
      <c r="B553" s="6"/>
      <c r="C553" s="6"/>
      <c r="D553" s="6"/>
      <c r="E553" s="6"/>
      <c r="F553" s="6"/>
      <c r="G553" s="5"/>
      <c r="H553" s="13" t="s">
        <v>25</v>
      </c>
      <c r="I553" s="7">
        <f>SUM(I548:I552)</f>
        <v>6934</v>
      </c>
      <c r="J553" s="6"/>
      <c r="K553" s="62"/>
      <c r="L553" s="38">
        <f>SUM(L548:L552)</f>
        <v>22870.147500790605</v>
      </c>
      <c r="M553" s="38">
        <f>SUM(M548:M552)</f>
        <v>6861.0442502371789</v>
      </c>
    </row>
    <row r="554" spans="1:13" ht="22.5" x14ac:dyDescent="0.25">
      <c r="A554" s="5" t="s">
        <v>495</v>
      </c>
      <c r="B554" s="6" t="s">
        <v>502</v>
      </c>
      <c r="C554" s="6" t="s">
        <v>15</v>
      </c>
      <c r="D554" s="6" t="s">
        <v>16</v>
      </c>
      <c r="E554" s="6" t="s">
        <v>3</v>
      </c>
      <c r="F554" s="6" t="s">
        <v>17</v>
      </c>
      <c r="G554" s="5" t="s">
        <v>664</v>
      </c>
      <c r="H554" s="6" t="s">
        <v>179</v>
      </c>
      <c r="I554" s="7">
        <v>920</v>
      </c>
      <c r="J554" s="6" t="s">
        <v>665</v>
      </c>
      <c r="K554" s="60">
        <v>34</v>
      </c>
      <c r="L554" s="16">
        <f>0.092*280.51*117.5809</f>
        <v>3034.4008798279997</v>
      </c>
      <c r="M554" s="16">
        <f t="shared" ref="M554:M559" si="36">L554*0.3</f>
        <v>910.32026394839988</v>
      </c>
    </row>
    <row r="555" spans="1:13" ht="22.5" x14ac:dyDescent="0.25">
      <c r="A555" s="5" t="s">
        <v>495</v>
      </c>
      <c r="B555" s="6" t="s">
        <v>502</v>
      </c>
      <c r="C555" s="6" t="s">
        <v>15</v>
      </c>
      <c r="D555" s="6" t="s">
        <v>16</v>
      </c>
      <c r="E555" s="6" t="s">
        <v>3</v>
      </c>
      <c r="F555" s="6" t="s">
        <v>17</v>
      </c>
      <c r="G555" s="5" t="s">
        <v>666</v>
      </c>
      <c r="H555" s="6" t="s">
        <v>179</v>
      </c>
      <c r="I555" s="7">
        <v>3870</v>
      </c>
      <c r="J555" s="6" t="s">
        <v>504</v>
      </c>
      <c r="K555" s="61"/>
      <c r="L555" s="12">
        <f>0.387*280.51*117.5809</f>
        <v>12764.273266233</v>
      </c>
      <c r="M555" s="12">
        <f t="shared" si="36"/>
        <v>3829.2819798698997</v>
      </c>
    </row>
    <row r="556" spans="1:13" ht="33.75" x14ac:dyDescent="0.25">
      <c r="A556" s="5" t="s">
        <v>495</v>
      </c>
      <c r="B556" s="6" t="s">
        <v>502</v>
      </c>
      <c r="C556" s="6" t="s">
        <v>15</v>
      </c>
      <c r="D556" s="6" t="s">
        <v>16</v>
      </c>
      <c r="E556" s="6" t="s">
        <v>3</v>
      </c>
      <c r="F556" s="6" t="s">
        <v>17</v>
      </c>
      <c r="G556" s="5" t="s">
        <v>667</v>
      </c>
      <c r="H556" s="6" t="s">
        <v>179</v>
      </c>
      <c r="I556" s="7">
        <v>658</v>
      </c>
      <c r="J556" s="6" t="s">
        <v>668</v>
      </c>
      <c r="K556" s="61"/>
      <c r="L556" s="21">
        <f>0.0658*280.51*117.5809</f>
        <v>2170.2562814421999</v>
      </c>
      <c r="M556" s="21">
        <f t="shared" si="36"/>
        <v>651.07688443265999</v>
      </c>
    </row>
    <row r="557" spans="1:13" ht="33.75" x14ac:dyDescent="0.25">
      <c r="A557" s="5" t="s">
        <v>495</v>
      </c>
      <c r="B557" s="6" t="s">
        <v>502</v>
      </c>
      <c r="C557" s="6" t="s">
        <v>15</v>
      </c>
      <c r="D557" s="6" t="s">
        <v>16</v>
      </c>
      <c r="E557" s="6" t="s">
        <v>3</v>
      </c>
      <c r="F557" s="6" t="s">
        <v>17</v>
      </c>
      <c r="G557" s="5" t="s">
        <v>669</v>
      </c>
      <c r="H557" s="6" t="s">
        <v>179</v>
      </c>
      <c r="I557" s="7">
        <v>1016</v>
      </c>
      <c r="J557" s="6" t="s">
        <v>670</v>
      </c>
      <c r="K557" s="61"/>
      <c r="L557" s="20">
        <f>0.1016*280.51*117.5809</f>
        <v>3351.0340151144001</v>
      </c>
      <c r="M557" s="20">
        <f t="shared" si="36"/>
        <v>1005.31020453432</v>
      </c>
    </row>
    <row r="558" spans="1:13" ht="33.75" x14ac:dyDescent="0.25">
      <c r="A558" s="5" t="s">
        <v>495</v>
      </c>
      <c r="B558" s="6" t="s">
        <v>502</v>
      </c>
      <c r="C558" s="6" t="s">
        <v>15</v>
      </c>
      <c r="D558" s="6" t="s">
        <v>16</v>
      </c>
      <c r="E558" s="6" t="s">
        <v>3</v>
      </c>
      <c r="F558" s="6" t="s">
        <v>17</v>
      </c>
      <c r="G558" s="5" t="s">
        <v>671</v>
      </c>
      <c r="H558" s="6" t="s">
        <v>179</v>
      </c>
      <c r="I558" s="7">
        <v>1013</v>
      </c>
      <c r="J558" s="6" t="s">
        <v>672</v>
      </c>
      <c r="K558" s="61"/>
      <c r="L558" s="21">
        <f>0.1013*280.51*117.5809</f>
        <v>3341.1392296366998</v>
      </c>
      <c r="M558" s="21">
        <f t="shared" si="36"/>
        <v>1002.3417688910099</v>
      </c>
    </row>
    <row r="559" spans="1:13" ht="33.75" x14ac:dyDescent="0.25">
      <c r="A559" s="5" t="s">
        <v>495</v>
      </c>
      <c r="B559" s="6" t="s">
        <v>502</v>
      </c>
      <c r="C559" s="6" t="s">
        <v>15</v>
      </c>
      <c r="D559" s="6" t="s">
        <v>16</v>
      </c>
      <c r="E559" s="6" t="s">
        <v>3</v>
      </c>
      <c r="F559" s="6" t="s">
        <v>17</v>
      </c>
      <c r="G559" s="5" t="s">
        <v>673</v>
      </c>
      <c r="H559" s="6" t="s">
        <v>179</v>
      </c>
      <c r="I559" s="7">
        <v>652</v>
      </c>
      <c r="J559" s="6" t="s">
        <v>674</v>
      </c>
      <c r="K559" s="61"/>
      <c r="L559" s="20">
        <f>0.0652*280.51*117.5809</f>
        <v>2150.4667104867999</v>
      </c>
      <c r="M559" s="20">
        <f t="shared" si="36"/>
        <v>645.14001314603991</v>
      </c>
    </row>
    <row r="560" spans="1:13" x14ac:dyDescent="0.25">
      <c r="A560" s="5"/>
      <c r="B560" s="6"/>
      <c r="C560" s="6"/>
      <c r="D560" s="6"/>
      <c r="E560" s="6"/>
      <c r="F560" s="6"/>
      <c r="G560" s="5"/>
      <c r="H560" s="13" t="s">
        <v>25</v>
      </c>
      <c r="I560" s="7">
        <f>SUM(I554:I559)</f>
        <v>8129</v>
      </c>
      <c r="J560" s="6"/>
      <c r="K560" s="62"/>
      <c r="L560" s="37">
        <f>SUM(L554:L559)</f>
        <v>26811.570382741098</v>
      </c>
      <c r="M560" s="37">
        <f>SUM(M554:M559)</f>
        <v>8043.4711148223305</v>
      </c>
    </row>
    <row r="561" spans="1:15" ht="45" x14ac:dyDescent="0.25">
      <c r="A561" s="5" t="s">
        <v>495</v>
      </c>
      <c r="B561" s="6" t="s">
        <v>502</v>
      </c>
      <c r="C561" s="6" t="s">
        <v>15</v>
      </c>
      <c r="D561" s="6" t="s">
        <v>16</v>
      </c>
      <c r="E561" s="6" t="s">
        <v>3</v>
      </c>
      <c r="F561" s="6" t="s">
        <v>17</v>
      </c>
      <c r="G561" s="5" t="s">
        <v>675</v>
      </c>
      <c r="H561" s="6" t="s">
        <v>179</v>
      </c>
      <c r="I561" s="7">
        <v>2022</v>
      </c>
      <c r="J561" s="6" t="s">
        <v>676</v>
      </c>
      <c r="K561" s="24">
        <v>35</v>
      </c>
      <c r="L561" s="19">
        <f>0.2022*280.51*117.5809</f>
        <v>6669.0854119697997</v>
      </c>
      <c r="M561" s="19">
        <f>L561*0.3</f>
        <v>2000.7256235909399</v>
      </c>
    </row>
    <row r="562" spans="1:15" ht="22.5" x14ac:dyDescent="0.25">
      <c r="A562" s="5" t="s">
        <v>495</v>
      </c>
      <c r="B562" s="6" t="s">
        <v>502</v>
      </c>
      <c r="C562" s="6" t="s">
        <v>15</v>
      </c>
      <c r="D562" s="6" t="s">
        <v>16</v>
      </c>
      <c r="E562" s="6" t="s">
        <v>3</v>
      </c>
      <c r="F562" s="6" t="s">
        <v>17</v>
      </c>
      <c r="G562" s="5" t="s">
        <v>677</v>
      </c>
      <c r="H562" s="6" t="s">
        <v>402</v>
      </c>
      <c r="I562" s="7">
        <v>538</v>
      </c>
      <c r="J562" s="6" t="s">
        <v>678</v>
      </c>
      <c r="K562" s="24">
        <v>36</v>
      </c>
      <c r="L562" s="22">
        <f>0.0538*56.1*117.5809</f>
        <v>354.880320762</v>
      </c>
      <c r="M562" s="22">
        <f>L562*0.3</f>
        <v>106.4640962286</v>
      </c>
    </row>
    <row r="563" spans="1:15" ht="22.5" x14ac:dyDescent="0.25">
      <c r="A563" s="5" t="s">
        <v>495</v>
      </c>
      <c r="B563" s="6" t="s">
        <v>502</v>
      </c>
      <c r="C563" s="6" t="s">
        <v>15</v>
      </c>
      <c r="D563" s="6" t="s">
        <v>16</v>
      </c>
      <c r="E563" s="6" t="s">
        <v>3</v>
      </c>
      <c r="F563" s="6" t="s">
        <v>17</v>
      </c>
      <c r="G563" s="5" t="s">
        <v>679</v>
      </c>
      <c r="H563" s="6" t="s">
        <v>19</v>
      </c>
      <c r="I563" s="7">
        <v>290</v>
      </c>
      <c r="J563" s="6" t="s">
        <v>680</v>
      </c>
      <c r="K563" s="60">
        <v>37</v>
      </c>
      <c r="L563" s="21">
        <f>0.029*68.16*117.5809</f>
        <v>232.41511017599998</v>
      </c>
      <c r="M563" s="21">
        <f>L563*0.3</f>
        <v>69.724533052799998</v>
      </c>
    </row>
    <row r="564" spans="1:15" ht="22.5" x14ac:dyDescent="0.25">
      <c r="A564" s="5" t="s">
        <v>495</v>
      </c>
      <c r="B564" s="6" t="s">
        <v>502</v>
      </c>
      <c r="C564" s="6" t="s">
        <v>15</v>
      </c>
      <c r="D564" s="6" t="s">
        <v>16</v>
      </c>
      <c r="E564" s="6" t="s">
        <v>3</v>
      </c>
      <c r="F564" s="6" t="s">
        <v>17</v>
      </c>
      <c r="G564" s="5" t="s">
        <v>681</v>
      </c>
      <c r="H564" s="6" t="s">
        <v>125</v>
      </c>
      <c r="I564" s="7">
        <v>3314</v>
      </c>
      <c r="J564" s="6" t="s">
        <v>680</v>
      </c>
      <c r="K564" s="61"/>
      <c r="L564" s="20">
        <f>0.3314*201.96*117.5809</f>
        <v>7869.6360201095995</v>
      </c>
      <c r="M564" s="20">
        <f>L564*0.3</f>
        <v>2360.8908060328799</v>
      </c>
    </row>
    <row r="565" spans="1:15" x14ac:dyDescent="0.25">
      <c r="A565" s="5"/>
      <c r="B565" s="6"/>
      <c r="C565" s="6"/>
      <c r="D565" s="6"/>
      <c r="E565" s="6"/>
      <c r="F565" s="6"/>
      <c r="G565" s="5"/>
      <c r="H565" s="13" t="s">
        <v>25</v>
      </c>
      <c r="I565" s="7">
        <f>SUM(I563:I564)</f>
        <v>3604</v>
      </c>
      <c r="J565" s="6"/>
      <c r="K565" s="62"/>
      <c r="L565" s="37">
        <f>SUM(L563:L564)</f>
        <v>8102.0511302855994</v>
      </c>
      <c r="M565" s="37">
        <f>SUM(M563:M564)</f>
        <v>2430.6153390856798</v>
      </c>
    </row>
    <row r="566" spans="1:15" ht="22.5" x14ac:dyDescent="0.25">
      <c r="A566" s="5" t="s">
        <v>495</v>
      </c>
      <c r="B566" s="6" t="s">
        <v>502</v>
      </c>
      <c r="C566" s="6" t="s">
        <v>15</v>
      </c>
      <c r="D566" s="6" t="s">
        <v>16</v>
      </c>
      <c r="E566" s="6" t="s">
        <v>3</v>
      </c>
      <c r="F566" s="6" t="s">
        <v>17</v>
      </c>
      <c r="G566" s="5" t="s">
        <v>682</v>
      </c>
      <c r="H566" s="6" t="s">
        <v>179</v>
      </c>
      <c r="I566" s="7">
        <v>39403</v>
      </c>
      <c r="J566" s="6" t="s">
        <v>634</v>
      </c>
      <c r="K566" s="24">
        <v>38</v>
      </c>
      <c r="L566" s="22">
        <f>3.9403*280.51*117.5809</f>
        <v>129961.41072593769</v>
      </c>
      <c r="M566" s="22">
        <f t="shared" ref="M566:M573" si="37">L566*0.3</f>
        <v>38988.423217781303</v>
      </c>
    </row>
    <row r="567" spans="1:15" ht="22.5" x14ac:dyDescent="0.25">
      <c r="A567" s="5" t="s">
        <v>495</v>
      </c>
      <c r="B567" s="6" t="s">
        <v>502</v>
      </c>
      <c r="C567" s="6" t="s">
        <v>15</v>
      </c>
      <c r="D567" s="6" t="s">
        <v>16</v>
      </c>
      <c r="E567" s="6" t="s">
        <v>3</v>
      </c>
      <c r="F567" s="6" t="s">
        <v>17</v>
      </c>
      <c r="G567" s="5" t="s">
        <v>683</v>
      </c>
      <c r="H567" s="6" t="s">
        <v>28</v>
      </c>
      <c r="I567" s="7">
        <v>1355</v>
      </c>
      <c r="J567" s="6" t="s">
        <v>641</v>
      </c>
      <c r="K567" s="24">
        <v>39</v>
      </c>
      <c r="L567" s="15">
        <f>0.1355*255.26*117.5809</f>
        <v>4066.8564223570002</v>
      </c>
      <c r="M567" s="15">
        <f t="shared" si="37"/>
        <v>1220.0569267071</v>
      </c>
    </row>
    <row r="568" spans="1:15" ht="22.5" x14ac:dyDescent="0.25">
      <c r="A568" s="5" t="s">
        <v>495</v>
      </c>
      <c r="B568" s="6" t="s">
        <v>502</v>
      </c>
      <c r="C568" s="6" t="s">
        <v>15</v>
      </c>
      <c r="D568" s="6" t="s">
        <v>16</v>
      </c>
      <c r="E568" s="6" t="s">
        <v>3</v>
      </c>
      <c r="F568" s="6" t="s">
        <v>17</v>
      </c>
      <c r="G568" s="5" t="s">
        <v>684</v>
      </c>
      <c r="H568" s="6" t="s">
        <v>179</v>
      </c>
      <c r="I568" s="7">
        <v>13256</v>
      </c>
      <c r="J568" s="6" t="s">
        <v>685</v>
      </c>
      <c r="K568" s="24">
        <v>40</v>
      </c>
      <c r="L568" s="9">
        <f>1.3256*280.51*117.5809</f>
        <v>43721.758764130398</v>
      </c>
      <c r="M568" s="9">
        <f t="shared" si="37"/>
        <v>13116.527629239119</v>
      </c>
    </row>
    <row r="569" spans="1:15" ht="22.5" x14ac:dyDescent="0.25">
      <c r="A569" s="5" t="s">
        <v>495</v>
      </c>
      <c r="B569" s="6" t="s">
        <v>502</v>
      </c>
      <c r="C569" s="6" t="s">
        <v>15</v>
      </c>
      <c r="D569" s="6" t="s">
        <v>16</v>
      </c>
      <c r="E569" s="6" t="s">
        <v>3</v>
      </c>
      <c r="F569" s="6" t="s">
        <v>17</v>
      </c>
      <c r="G569" s="5" t="s">
        <v>686</v>
      </c>
      <c r="H569" s="6" t="s">
        <v>179</v>
      </c>
      <c r="I569" s="7">
        <v>4008</v>
      </c>
      <c r="J569" s="6" t="s">
        <v>687</v>
      </c>
      <c r="K569" s="24">
        <v>41</v>
      </c>
      <c r="L569" s="19">
        <f>0.4008*280.51*117.5809</f>
        <v>13219.433398207198</v>
      </c>
      <c r="M569" s="19">
        <f t="shared" si="37"/>
        <v>3965.8300194621593</v>
      </c>
    </row>
    <row r="570" spans="1:15" ht="33.75" x14ac:dyDescent="0.25">
      <c r="A570" s="5" t="s">
        <v>495</v>
      </c>
      <c r="B570" s="6" t="s">
        <v>502</v>
      </c>
      <c r="C570" s="6" t="s">
        <v>15</v>
      </c>
      <c r="D570" s="6" t="s">
        <v>16</v>
      </c>
      <c r="E570" s="6" t="s">
        <v>3</v>
      </c>
      <c r="F570" s="6" t="s">
        <v>17</v>
      </c>
      <c r="G570" s="5" t="s">
        <v>688</v>
      </c>
      <c r="H570" s="6" t="s">
        <v>179</v>
      </c>
      <c r="I570" s="7">
        <v>912</v>
      </c>
      <c r="J570" s="6" t="s">
        <v>648</v>
      </c>
      <c r="K570" s="60">
        <v>42</v>
      </c>
      <c r="L570" s="20">
        <f>0.0912*280.51*117.5809</f>
        <v>3008.0147852208001</v>
      </c>
      <c r="M570" s="20">
        <f t="shared" si="37"/>
        <v>902.40443556624007</v>
      </c>
    </row>
    <row r="571" spans="1:15" ht="33.75" x14ac:dyDescent="0.25">
      <c r="A571" s="5" t="s">
        <v>495</v>
      </c>
      <c r="B571" s="6" t="s">
        <v>502</v>
      </c>
      <c r="C571" s="6" t="s">
        <v>15</v>
      </c>
      <c r="D571" s="6" t="s">
        <v>16</v>
      </c>
      <c r="E571" s="6" t="s">
        <v>3</v>
      </c>
      <c r="F571" s="6" t="s">
        <v>17</v>
      </c>
      <c r="G571" s="5" t="s">
        <v>689</v>
      </c>
      <c r="H571" s="6" t="s">
        <v>179</v>
      </c>
      <c r="I571" s="7">
        <v>74</v>
      </c>
      <c r="J571" s="6" t="s">
        <v>648</v>
      </c>
      <c r="K571" s="61"/>
      <c r="L571" s="21">
        <f>0.0074*280.51*117.5809</f>
        <v>244.0713751166</v>
      </c>
      <c r="M571" s="21">
        <f t="shared" si="37"/>
        <v>73.22141253497999</v>
      </c>
    </row>
    <row r="572" spans="1:15" ht="33.75" x14ac:dyDescent="0.25">
      <c r="A572" s="5" t="s">
        <v>495</v>
      </c>
      <c r="B572" s="6" t="s">
        <v>502</v>
      </c>
      <c r="C572" s="6" t="s">
        <v>15</v>
      </c>
      <c r="D572" s="6" t="s">
        <v>16</v>
      </c>
      <c r="E572" s="6" t="s">
        <v>3</v>
      </c>
      <c r="F572" s="6" t="s">
        <v>17</v>
      </c>
      <c r="G572" s="5" t="s">
        <v>690</v>
      </c>
      <c r="H572" s="6" t="s">
        <v>179</v>
      </c>
      <c r="I572" s="7">
        <v>1105</v>
      </c>
      <c r="J572" s="6" t="s">
        <v>648</v>
      </c>
      <c r="K572" s="61"/>
      <c r="L572" s="20">
        <f>0.1105*280.51*117.5809</f>
        <v>3644.5793176194998</v>
      </c>
      <c r="M572" s="20">
        <f t="shared" si="37"/>
        <v>1093.3737952858498</v>
      </c>
    </row>
    <row r="573" spans="1:15" ht="33.75" x14ac:dyDescent="0.25">
      <c r="A573" s="5" t="s">
        <v>495</v>
      </c>
      <c r="B573" s="6" t="s">
        <v>502</v>
      </c>
      <c r="C573" s="6" t="s">
        <v>15</v>
      </c>
      <c r="D573" s="6" t="s">
        <v>16</v>
      </c>
      <c r="E573" s="6" t="s">
        <v>3</v>
      </c>
      <c r="F573" s="6" t="s">
        <v>17</v>
      </c>
      <c r="G573" s="5" t="s">
        <v>691</v>
      </c>
      <c r="H573" s="6" t="s">
        <v>179</v>
      </c>
      <c r="I573" s="7">
        <v>59</v>
      </c>
      <c r="J573" s="6" t="s">
        <v>648</v>
      </c>
      <c r="K573" s="61"/>
      <c r="L573" s="21">
        <f>0.0059*280.51*117.5809</f>
        <v>194.59744772810001</v>
      </c>
      <c r="M573" s="21">
        <f t="shared" si="37"/>
        <v>58.379234318430001</v>
      </c>
      <c r="N573" s="17"/>
      <c r="O573" s="17"/>
    </row>
    <row r="574" spans="1:15" x14ac:dyDescent="0.25">
      <c r="A574" s="5"/>
      <c r="B574" s="6"/>
      <c r="C574" s="6"/>
      <c r="D574" s="6"/>
      <c r="E574" s="6"/>
      <c r="F574" s="6"/>
      <c r="G574" s="5"/>
      <c r="H574" s="13" t="s">
        <v>25</v>
      </c>
      <c r="I574" s="7">
        <f>SUM(I570:I573)</f>
        <v>2150</v>
      </c>
      <c r="J574" s="6"/>
      <c r="K574" s="62"/>
      <c r="L574" s="38">
        <f>SUM(L570:L573)</f>
        <v>7091.2629256849996</v>
      </c>
      <c r="M574" s="38">
        <f>SUM(M570:M573)</f>
        <v>2127.3788777055001</v>
      </c>
    </row>
    <row r="575" spans="1:15" ht="22.5" x14ac:dyDescent="0.25">
      <c r="A575" s="5" t="s">
        <v>692</v>
      </c>
      <c r="B575" s="6" t="s">
        <v>693</v>
      </c>
      <c r="C575" s="6" t="s">
        <v>15</v>
      </c>
      <c r="D575" s="6" t="s">
        <v>16</v>
      </c>
      <c r="E575" s="6" t="s">
        <v>3</v>
      </c>
      <c r="F575" s="6" t="s">
        <v>17</v>
      </c>
      <c r="G575" s="5" t="s">
        <v>694</v>
      </c>
      <c r="H575" s="6" t="s">
        <v>179</v>
      </c>
      <c r="I575" s="7">
        <v>7601</v>
      </c>
      <c r="J575" s="6" t="s">
        <v>678</v>
      </c>
      <c r="K575" s="63" t="s">
        <v>18</v>
      </c>
      <c r="L575" s="21">
        <f>0.7601*280.51*117.5809</f>
        <v>25070.088138665898</v>
      </c>
      <c r="M575" s="21">
        <f>L575*0.3</f>
        <v>7521.026441599769</v>
      </c>
    </row>
    <row r="576" spans="1:15" ht="22.5" x14ac:dyDescent="0.25">
      <c r="A576" s="5" t="s">
        <v>692</v>
      </c>
      <c r="B576" s="6" t="s">
        <v>693</v>
      </c>
      <c r="C576" s="6" t="s">
        <v>15</v>
      </c>
      <c r="D576" s="6" t="s">
        <v>16</v>
      </c>
      <c r="E576" s="6" t="s">
        <v>3</v>
      </c>
      <c r="F576" s="6" t="s">
        <v>17</v>
      </c>
      <c r="G576" s="5" t="s">
        <v>695</v>
      </c>
      <c r="H576" s="6" t="s">
        <v>179</v>
      </c>
      <c r="I576" s="7">
        <v>3513</v>
      </c>
      <c r="J576" s="6" t="s">
        <v>678</v>
      </c>
      <c r="K576" s="64"/>
      <c r="L576" s="20">
        <f>0.3513*280.51*117.5809</f>
        <v>11586.7937943867</v>
      </c>
      <c r="M576" s="20">
        <f>L576*0.3</f>
        <v>3476.0381383160097</v>
      </c>
    </row>
    <row r="577" spans="1:13" x14ac:dyDescent="0.25">
      <c r="A577" s="5"/>
      <c r="B577" s="6"/>
      <c r="C577" s="6"/>
      <c r="D577" s="6"/>
      <c r="E577" s="6"/>
      <c r="F577" s="6"/>
      <c r="G577" s="5"/>
      <c r="H577" s="13" t="s">
        <v>25</v>
      </c>
      <c r="I577" s="7">
        <f>+SUM(I575:I576)</f>
        <v>11114</v>
      </c>
      <c r="J577" s="6"/>
      <c r="K577" s="65"/>
      <c r="L577" s="37">
        <f>SUM(L575:L576)</f>
        <v>36656.881933052602</v>
      </c>
      <c r="M577" s="37">
        <f>SUM(M575:M576)</f>
        <v>10997.064579915779</v>
      </c>
    </row>
    <row r="578" spans="1:13" ht="22.5" x14ac:dyDescent="0.25">
      <c r="A578" s="5" t="s">
        <v>692</v>
      </c>
      <c r="B578" s="6" t="s">
        <v>693</v>
      </c>
      <c r="C578" s="6" t="s">
        <v>15</v>
      </c>
      <c r="D578" s="6" t="s">
        <v>16</v>
      </c>
      <c r="E578" s="6" t="s">
        <v>3</v>
      </c>
      <c r="F578" s="6" t="s">
        <v>17</v>
      </c>
      <c r="G578" s="5" t="s">
        <v>696</v>
      </c>
      <c r="H578" s="6" t="s">
        <v>179</v>
      </c>
      <c r="I578" s="7">
        <v>5260</v>
      </c>
      <c r="J578" s="6" t="s">
        <v>678</v>
      </c>
      <c r="K578" s="60">
        <v>2</v>
      </c>
      <c r="L578" s="20">
        <f>0.526*280.51*117.5809</f>
        <v>17348.857204233998</v>
      </c>
      <c r="M578" s="20">
        <f>L578*0.3</f>
        <v>5204.6571612701991</v>
      </c>
    </row>
    <row r="579" spans="1:13" ht="22.5" x14ac:dyDescent="0.25">
      <c r="A579" s="5" t="s">
        <v>692</v>
      </c>
      <c r="B579" s="6" t="s">
        <v>693</v>
      </c>
      <c r="C579" s="6" t="s">
        <v>15</v>
      </c>
      <c r="D579" s="6" t="s">
        <v>16</v>
      </c>
      <c r="E579" s="6" t="s">
        <v>3</v>
      </c>
      <c r="F579" s="6" t="s">
        <v>17</v>
      </c>
      <c r="G579" s="5" t="s">
        <v>697</v>
      </c>
      <c r="H579" s="6" t="s">
        <v>179</v>
      </c>
      <c r="I579" s="7">
        <v>4567</v>
      </c>
      <c r="J579" s="6" t="s">
        <v>678</v>
      </c>
      <c r="K579" s="61"/>
      <c r="L579" s="21">
        <f>0.4567*280.51*117.5809</f>
        <v>15063.161758885299</v>
      </c>
      <c r="M579" s="21">
        <f>L579*0.3</f>
        <v>4518.9485276655896</v>
      </c>
    </row>
    <row r="580" spans="1:13" x14ac:dyDescent="0.25">
      <c r="A580" s="5"/>
      <c r="B580" s="6"/>
      <c r="C580" s="6"/>
      <c r="D580" s="6"/>
      <c r="E580" s="6"/>
      <c r="F580" s="6"/>
      <c r="G580" s="5"/>
      <c r="H580" s="13" t="s">
        <v>25</v>
      </c>
      <c r="I580" s="7">
        <f>+SUM(I578:I579)</f>
        <v>9827</v>
      </c>
      <c r="J580" s="6"/>
      <c r="K580" s="62"/>
      <c r="L580" s="38">
        <f>SUM(L578:L579)</f>
        <v>32412.018963119299</v>
      </c>
      <c r="M580" s="38">
        <f>SUM(M578:M579)</f>
        <v>9723.6056889357897</v>
      </c>
    </row>
    <row r="581" spans="1:13" ht="22.5" x14ac:dyDescent="0.25">
      <c r="A581" s="5" t="s">
        <v>692</v>
      </c>
      <c r="B581" s="6" t="s">
        <v>693</v>
      </c>
      <c r="C581" s="6" t="s">
        <v>15</v>
      </c>
      <c r="D581" s="6" t="s">
        <v>16</v>
      </c>
      <c r="E581" s="6" t="s">
        <v>3</v>
      </c>
      <c r="F581" s="6" t="s">
        <v>17</v>
      </c>
      <c r="G581" s="5" t="s">
        <v>698</v>
      </c>
      <c r="H581" s="6" t="s">
        <v>179</v>
      </c>
      <c r="I581" s="7">
        <v>2222</v>
      </c>
      <c r="J581" s="6" t="s">
        <v>678</v>
      </c>
      <c r="K581" s="60">
        <v>3</v>
      </c>
      <c r="L581" s="21">
        <f>0.2222*280.51*117.5809</f>
        <v>7328.7377771497995</v>
      </c>
      <c r="M581" s="21">
        <f>L581*0.3</f>
        <v>2198.6213331449399</v>
      </c>
    </row>
    <row r="582" spans="1:13" ht="22.5" x14ac:dyDescent="0.25">
      <c r="A582" s="5" t="s">
        <v>692</v>
      </c>
      <c r="B582" s="6" t="s">
        <v>693</v>
      </c>
      <c r="C582" s="6" t="s">
        <v>15</v>
      </c>
      <c r="D582" s="6" t="s">
        <v>16</v>
      </c>
      <c r="E582" s="6" t="s">
        <v>3</v>
      </c>
      <c r="F582" s="6" t="s">
        <v>17</v>
      </c>
      <c r="G582" s="5" t="s">
        <v>699</v>
      </c>
      <c r="H582" s="6" t="s">
        <v>179</v>
      </c>
      <c r="I582" s="7">
        <v>2175</v>
      </c>
      <c r="J582" s="6" t="s">
        <v>678</v>
      </c>
      <c r="K582" s="61"/>
      <c r="L582" s="20">
        <f>0.2175*280.51*117.5809</f>
        <v>7173.7194713324998</v>
      </c>
      <c r="M582" s="20">
        <f>L582*0.3</f>
        <v>2152.11584139975</v>
      </c>
    </row>
    <row r="583" spans="1:13" ht="22.5" x14ac:dyDescent="0.25">
      <c r="A583" s="5" t="s">
        <v>692</v>
      </c>
      <c r="B583" s="6" t="s">
        <v>693</v>
      </c>
      <c r="C583" s="6" t="s">
        <v>15</v>
      </c>
      <c r="D583" s="6" t="s">
        <v>16</v>
      </c>
      <c r="E583" s="6" t="s">
        <v>3</v>
      </c>
      <c r="F583" s="6" t="s">
        <v>17</v>
      </c>
      <c r="G583" s="5" t="s">
        <v>700</v>
      </c>
      <c r="H583" s="6" t="s">
        <v>179</v>
      </c>
      <c r="I583" s="7">
        <v>1362</v>
      </c>
      <c r="J583" s="6" t="s">
        <v>678</v>
      </c>
      <c r="K583" s="61"/>
      <c r="L583" s="21">
        <f>0.1362*280.51*117.5809</f>
        <v>4492.2326068757993</v>
      </c>
      <c r="M583" s="21">
        <f>L583*0.3</f>
        <v>1347.6697820627398</v>
      </c>
    </row>
    <row r="584" spans="1:13" ht="22.5" x14ac:dyDescent="0.25">
      <c r="A584" s="5" t="s">
        <v>692</v>
      </c>
      <c r="B584" s="6" t="s">
        <v>693</v>
      </c>
      <c r="C584" s="6" t="s">
        <v>15</v>
      </c>
      <c r="D584" s="6" t="s">
        <v>16</v>
      </c>
      <c r="E584" s="6" t="s">
        <v>3</v>
      </c>
      <c r="F584" s="6" t="s">
        <v>17</v>
      </c>
      <c r="G584" s="5" t="s">
        <v>701</v>
      </c>
      <c r="H584" s="6" t="s">
        <v>168</v>
      </c>
      <c r="I584" s="7">
        <v>181</v>
      </c>
      <c r="J584" s="6" t="s">
        <v>678</v>
      </c>
      <c r="K584" s="61"/>
      <c r="L584" s="20">
        <f>0.0181*11.36*117.5809</f>
        <v>24.1765143344</v>
      </c>
      <c r="M584" s="20">
        <f>L584*0.3</f>
        <v>7.2529543003199999</v>
      </c>
    </row>
    <row r="585" spans="1:13" ht="22.5" x14ac:dyDescent="0.25">
      <c r="A585" s="5" t="s">
        <v>692</v>
      </c>
      <c r="B585" s="6" t="s">
        <v>693</v>
      </c>
      <c r="C585" s="6" t="s">
        <v>15</v>
      </c>
      <c r="D585" s="6" t="s">
        <v>16</v>
      </c>
      <c r="E585" s="6" t="s">
        <v>3</v>
      </c>
      <c r="F585" s="6" t="s">
        <v>17</v>
      </c>
      <c r="G585" s="5" t="s">
        <v>702</v>
      </c>
      <c r="H585" s="6" t="s">
        <v>168</v>
      </c>
      <c r="I585" s="7">
        <v>1091</v>
      </c>
      <c r="J585" s="6" t="s">
        <v>678</v>
      </c>
      <c r="K585" s="61"/>
      <c r="L585" s="21">
        <f>0.1091*11.36*117.5809</f>
        <v>145.72694551840002</v>
      </c>
      <c r="M585" s="21">
        <f>L585*0.3</f>
        <v>43.718083655520005</v>
      </c>
    </row>
    <row r="586" spans="1:13" x14ac:dyDescent="0.25">
      <c r="A586" s="5"/>
      <c r="B586" s="6"/>
      <c r="C586" s="6"/>
      <c r="D586" s="6"/>
      <c r="E586" s="6"/>
      <c r="F586" s="6"/>
      <c r="G586" s="5"/>
      <c r="H586" s="13" t="s">
        <v>25</v>
      </c>
      <c r="I586" s="7">
        <f>+SUM(I581:I585)</f>
        <v>7031</v>
      </c>
      <c r="J586" s="6"/>
      <c r="K586" s="62"/>
      <c r="L586" s="38">
        <f>SUM(L581:L585)</f>
        <v>19164.593315210896</v>
      </c>
      <c r="M586" s="38">
        <f>SUM(M581:M585)</f>
        <v>5749.3779945632696</v>
      </c>
    </row>
    <row r="587" spans="1:13" ht="22.5" x14ac:dyDescent="0.25">
      <c r="A587" s="5" t="s">
        <v>692</v>
      </c>
      <c r="B587" s="6" t="s">
        <v>693</v>
      </c>
      <c r="C587" s="6" t="s">
        <v>15</v>
      </c>
      <c r="D587" s="6" t="s">
        <v>16</v>
      </c>
      <c r="E587" s="6" t="s">
        <v>3</v>
      </c>
      <c r="F587" s="6" t="s">
        <v>17</v>
      </c>
      <c r="G587" s="5" t="s">
        <v>703</v>
      </c>
      <c r="H587" s="6" t="s">
        <v>179</v>
      </c>
      <c r="I587" s="7">
        <v>16115</v>
      </c>
      <c r="J587" s="6" t="s">
        <v>678</v>
      </c>
      <c r="K587" s="24">
        <v>4</v>
      </c>
      <c r="L587" s="19">
        <f>1.6115*280.51*117.5809</f>
        <v>53151.489324378497</v>
      </c>
      <c r="M587" s="19">
        <f>L587*0.3</f>
        <v>15945.446797313549</v>
      </c>
    </row>
    <row r="588" spans="1:13" ht="22.5" x14ac:dyDescent="0.25">
      <c r="A588" s="5" t="s">
        <v>692</v>
      </c>
      <c r="B588" s="6" t="s">
        <v>693</v>
      </c>
      <c r="C588" s="6" t="s">
        <v>15</v>
      </c>
      <c r="D588" s="6" t="s">
        <v>16</v>
      </c>
      <c r="E588" s="6" t="s">
        <v>3</v>
      </c>
      <c r="F588" s="6" t="s">
        <v>17</v>
      </c>
      <c r="G588" s="5" t="s">
        <v>704</v>
      </c>
      <c r="H588" s="6" t="s">
        <v>334</v>
      </c>
      <c r="I588" s="7">
        <v>2274</v>
      </c>
      <c r="J588" s="6" t="s">
        <v>678</v>
      </c>
      <c r="K588" s="60">
        <v>5</v>
      </c>
      <c r="L588" s="20">
        <f>0.2274*255.26*117.5809</f>
        <v>6825.1155014316</v>
      </c>
      <c r="M588" s="20">
        <f>L588*0.3</f>
        <v>2047.5346504294798</v>
      </c>
    </row>
    <row r="589" spans="1:13" ht="22.5" x14ac:dyDescent="0.25">
      <c r="A589" s="5" t="s">
        <v>692</v>
      </c>
      <c r="B589" s="6" t="s">
        <v>693</v>
      </c>
      <c r="C589" s="6" t="s">
        <v>15</v>
      </c>
      <c r="D589" s="6" t="s">
        <v>16</v>
      </c>
      <c r="E589" s="6" t="s">
        <v>3</v>
      </c>
      <c r="F589" s="6" t="s">
        <v>17</v>
      </c>
      <c r="G589" s="5" t="s">
        <v>705</v>
      </c>
      <c r="H589" s="6" t="s">
        <v>179</v>
      </c>
      <c r="I589" s="7">
        <v>11216</v>
      </c>
      <c r="J589" s="6" t="s">
        <v>678</v>
      </c>
      <c r="K589" s="61"/>
      <c r="L589" s="21">
        <f>1.1216*280.51*117.5809</f>
        <v>36993.304639294394</v>
      </c>
      <c r="M589" s="21">
        <f>L589*0.3</f>
        <v>11097.991391788319</v>
      </c>
    </row>
    <row r="590" spans="1:13" x14ac:dyDescent="0.25">
      <c r="A590" s="5"/>
      <c r="B590" s="6"/>
      <c r="C590" s="6"/>
      <c r="D590" s="6"/>
      <c r="E590" s="6"/>
      <c r="F590" s="6"/>
      <c r="G590" s="5"/>
      <c r="H590" s="13" t="s">
        <v>25</v>
      </c>
      <c r="I590" s="7">
        <f>+SUM(I588:I589)</f>
        <v>13490</v>
      </c>
      <c r="J590" s="6"/>
      <c r="K590" s="62"/>
      <c r="L590" s="38">
        <f>SUM(L588:L589)</f>
        <v>43818.420140725997</v>
      </c>
      <c r="M590" s="38">
        <f>SUM(M588:M589)</f>
        <v>13145.526042217798</v>
      </c>
    </row>
    <row r="591" spans="1:13" ht="22.5" x14ac:dyDescent="0.25">
      <c r="A591" s="5" t="s">
        <v>692</v>
      </c>
      <c r="B591" s="6" t="s">
        <v>693</v>
      </c>
      <c r="C591" s="6" t="s">
        <v>15</v>
      </c>
      <c r="D591" s="6" t="s">
        <v>16</v>
      </c>
      <c r="E591" s="6" t="s">
        <v>3</v>
      </c>
      <c r="F591" s="6" t="s">
        <v>17</v>
      </c>
      <c r="G591" s="5" t="s">
        <v>706</v>
      </c>
      <c r="H591" s="6" t="s">
        <v>59</v>
      </c>
      <c r="I591" s="7">
        <v>6559</v>
      </c>
      <c r="J591" s="6" t="s">
        <v>678</v>
      </c>
      <c r="K591" s="24">
        <v>6</v>
      </c>
      <c r="L591" s="19">
        <f>0.6559*45.44*117.5809</f>
        <v>3504.3924313664002</v>
      </c>
      <c r="M591" s="19">
        <f>L591*0.3</f>
        <v>1051.31772940992</v>
      </c>
    </row>
    <row r="592" spans="1:13" ht="22.5" x14ac:dyDescent="0.25">
      <c r="A592" s="5" t="s">
        <v>692</v>
      </c>
      <c r="B592" s="6" t="s">
        <v>693</v>
      </c>
      <c r="C592" s="6" t="s">
        <v>15</v>
      </c>
      <c r="D592" s="6" t="s">
        <v>16</v>
      </c>
      <c r="E592" s="6" t="s">
        <v>3</v>
      </c>
      <c r="F592" s="6" t="s">
        <v>17</v>
      </c>
      <c r="G592" s="5" t="s">
        <v>707</v>
      </c>
      <c r="H592" s="6" t="s">
        <v>28</v>
      </c>
      <c r="I592" s="7">
        <v>6730</v>
      </c>
      <c r="J592" s="6" t="s">
        <v>708</v>
      </c>
      <c r="K592" s="63" t="s">
        <v>709</v>
      </c>
      <c r="L592" s="20">
        <f>0.673*255.26*117.5809</f>
        <v>20199.220459382002</v>
      </c>
      <c r="M592" s="20">
        <f>L592*0.3</f>
        <v>6059.7661378146004</v>
      </c>
    </row>
    <row r="593" spans="1:13" ht="22.5" x14ac:dyDescent="0.25">
      <c r="A593" s="5" t="s">
        <v>692</v>
      </c>
      <c r="B593" s="6" t="s">
        <v>693</v>
      </c>
      <c r="C593" s="6" t="s">
        <v>15</v>
      </c>
      <c r="D593" s="6" t="s">
        <v>16</v>
      </c>
      <c r="E593" s="6" t="s">
        <v>3</v>
      </c>
      <c r="F593" s="6" t="s">
        <v>17</v>
      </c>
      <c r="G593" s="5" t="s">
        <v>710</v>
      </c>
      <c r="H593" s="6" t="s">
        <v>28</v>
      </c>
      <c r="I593" s="7">
        <v>2368</v>
      </c>
      <c r="J593" s="6" t="s">
        <v>708</v>
      </c>
      <c r="K593" s="64"/>
      <c r="L593" s="21">
        <f>0.2368*255.26*117.5809</f>
        <v>7107.2442864512004</v>
      </c>
      <c r="M593" s="21">
        <f>L593*0.3</f>
        <v>2132.1732859353601</v>
      </c>
    </row>
    <row r="594" spans="1:13" x14ac:dyDescent="0.25">
      <c r="A594" s="5"/>
      <c r="B594" s="6"/>
      <c r="C594" s="6"/>
      <c r="D594" s="6"/>
      <c r="E594" s="6"/>
      <c r="F594" s="6"/>
      <c r="G594" s="5"/>
      <c r="H594" s="13" t="s">
        <v>25</v>
      </c>
      <c r="I594" s="7">
        <f>+SUM(I592:I593)</f>
        <v>9098</v>
      </c>
      <c r="J594" s="6"/>
      <c r="K594" s="65"/>
      <c r="L594" s="38">
        <f>SUM(L592:L593)</f>
        <v>27306.464745833204</v>
      </c>
      <c r="M594" s="38">
        <f>SUM(M592:M593)</f>
        <v>8191.93942374996</v>
      </c>
    </row>
    <row r="595" spans="1:13" ht="22.5" x14ac:dyDescent="0.25">
      <c r="A595" s="5" t="s">
        <v>692</v>
      </c>
      <c r="B595" s="6" t="s">
        <v>693</v>
      </c>
      <c r="C595" s="6" t="s">
        <v>15</v>
      </c>
      <c r="D595" s="6" t="s">
        <v>16</v>
      </c>
      <c r="E595" s="6" t="s">
        <v>3</v>
      </c>
      <c r="F595" s="6" t="s">
        <v>17</v>
      </c>
      <c r="G595" s="5" t="s">
        <v>711</v>
      </c>
      <c r="H595" s="6" t="s">
        <v>59</v>
      </c>
      <c r="I595" s="7">
        <v>26369</v>
      </c>
      <c r="J595" s="6" t="s">
        <v>708</v>
      </c>
      <c r="K595" s="24">
        <v>8</v>
      </c>
      <c r="L595" s="19">
        <f>2.6369*45.44*117.5809</f>
        <v>14088.629977542398</v>
      </c>
      <c r="M595" s="19">
        <f>L595*0.3</f>
        <v>4226.5889932627188</v>
      </c>
    </row>
    <row r="596" spans="1:13" ht="22.5" x14ac:dyDescent="0.25">
      <c r="A596" s="5" t="s">
        <v>692</v>
      </c>
      <c r="B596" s="6" t="s">
        <v>712</v>
      </c>
      <c r="C596" s="6" t="s">
        <v>15</v>
      </c>
      <c r="D596" s="6" t="s">
        <v>16</v>
      </c>
      <c r="E596" s="6" t="s">
        <v>3</v>
      </c>
      <c r="F596" s="6" t="s">
        <v>17</v>
      </c>
      <c r="G596" s="5" t="s">
        <v>713</v>
      </c>
      <c r="H596" s="6" t="s">
        <v>59</v>
      </c>
      <c r="I596" s="7">
        <v>3540</v>
      </c>
      <c r="J596" s="6" t="s">
        <v>714</v>
      </c>
      <c r="K596" s="24">
        <v>9</v>
      </c>
      <c r="L596" s="22">
        <f>0.354*45.44*117.5809</f>
        <v>1891.3781379839997</v>
      </c>
      <c r="M596" s="22">
        <f>L596*0.3</f>
        <v>567.41344139519992</v>
      </c>
    </row>
    <row r="597" spans="1:13" ht="33.75" x14ac:dyDescent="0.25">
      <c r="A597" s="5" t="s">
        <v>692</v>
      </c>
      <c r="B597" s="6" t="s">
        <v>715</v>
      </c>
      <c r="C597" s="6" t="s">
        <v>15</v>
      </c>
      <c r="D597" s="6" t="s">
        <v>16</v>
      </c>
      <c r="E597" s="6" t="s">
        <v>3</v>
      </c>
      <c r="F597" s="6" t="s">
        <v>17</v>
      </c>
      <c r="G597" s="5" t="s">
        <v>716</v>
      </c>
      <c r="H597" s="6" t="s">
        <v>59</v>
      </c>
      <c r="I597" s="7">
        <v>12001</v>
      </c>
      <c r="J597" s="6" t="s">
        <v>717</v>
      </c>
      <c r="K597" s="24">
        <v>10</v>
      </c>
      <c r="L597" s="19">
        <f>1.2001*45.44*117.5809</f>
        <v>6411.9856028095992</v>
      </c>
      <c r="M597" s="19">
        <f>L597*0.3</f>
        <v>1923.5956808428796</v>
      </c>
    </row>
    <row r="598" spans="1:13" ht="22.5" x14ac:dyDescent="0.25">
      <c r="A598" s="5" t="s">
        <v>692</v>
      </c>
      <c r="B598" s="6" t="s">
        <v>715</v>
      </c>
      <c r="C598" s="6" t="s">
        <v>15</v>
      </c>
      <c r="D598" s="6" t="s">
        <v>16</v>
      </c>
      <c r="E598" s="6" t="s">
        <v>3</v>
      </c>
      <c r="F598" s="6" t="s">
        <v>17</v>
      </c>
      <c r="G598" s="5" t="s">
        <v>718</v>
      </c>
      <c r="H598" s="6" t="s">
        <v>179</v>
      </c>
      <c r="I598" s="7">
        <v>1310</v>
      </c>
      <c r="J598" s="6" t="s">
        <v>719</v>
      </c>
      <c r="K598" s="60">
        <v>11</v>
      </c>
      <c r="L598" s="20">
        <f>0.131*280.51*117.5809</f>
        <v>4320.7229919290003</v>
      </c>
      <c r="M598" s="20">
        <f>L598*0.3</f>
        <v>1296.2168975787001</v>
      </c>
    </row>
    <row r="599" spans="1:13" ht="22.5" x14ac:dyDescent="0.25">
      <c r="A599" s="5" t="s">
        <v>692</v>
      </c>
      <c r="B599" s="6" t="s">
        <v>715</v>
      </c>
      <c r="C599" s="6" t="s">
        <v>15</v>
      </c>
      <c r="D599" s="6" t="s">
        <v>16</v>
      </c>
      <c r="E599" s="6" t="s">
        <v>3</v>
      </c>
      <c r="F599" s="6" t="s">
        <v>17</v>
      </c>
      <c r="G599" s="5" t="s">
        <v>720</v>
      </c>
      <c r="H599" s="6" t="s">
        <v>179</v>
      </c>
      <c r="I599" s="7">
        <v>792</v>
      </c>
      <c r="J599" s="6" t="s">
        <v>719</v>
      </c>
      <c r="K599" s="61"/>
      <c r="L599" s="21">
        <f>0.0792*280.51*117.5809</f>
        <v>2612.2233661128002</v>
      </c>
      <c r="M599" s="21">
        <f>L599*0.3</f>
        <v>783.6670098338401</v>
      </c>
    </row>
    <row r="600" spans="1:13" x14ac:dyDescent="0.25">
      <c r="A600" s="5"/>
      <c r="B600" s="6"/>
      <c r="C600" s="6"/>
      <c r="D600" s="6"/>
      <c r="E600" s="6"/>
      <c r="F600" s="6"/>
      <c r="G600" s="5"/>
      <c r="H600" s="13" t="s">
        <v>25</v>
      </c>
      <c r="I600" s="7">
        <f>+SUM(I598:I599)</f>
        <v>2102</v>
      </c>
      <c r="J600" s="6"/>
      <c r="K600" s="62"/>
      <c r="L600" s="38">
        <f>SUM(L598:L599)</f>
        <v>6932.9463580418005</v>
      </c>
      <c r="M600" s="38">
        <f>SUM(M598:M599)</f>
        <v>2079.8839074125403</v>
      </c>
    </row>
    <row r="601" spans="1:13" ht="22.5" x14ac:dyDescent="0.25">
      <c r="A601" s="5" t="s">
        <v>692</v>
      </c>
      <c r="B601" s="6" t="s">
        <v>715</v>
      </c>
      <c r="C601" s="6" t="s">
        <v>15</v>
      </c>
      <c r="D601" s="6" t="s">
        <v>16</v>
      </c>
      <c r="E601" s="6" t="s">
        <v>3</v>
      </c>
      <c r="F601" s="6" t="s">
        <v>17</v>
      </c>
      <c r="G601" s="5" t="s">
        <v>721</v>
      </c>
      <c r="H601" s="6" t="s">
        <v>19</v>
      </c>
      <c r="I601" s="7">
        <v>936</v>
      </c>
      <c r="J601" s="6" t="s">
        <v>722</v>
      </c>
      <c r="K601" s="60">
        <v>12</v>
      </c>
      <c r="L601" s="21">
        <f>0.0936*68.16*117.5809</f>
        <v>750.13980387840002</v>
      </c>
      <c r="M601" s="21">
        <f>L601*0.3</f>
        <v>225.04194116351999</v>
      </c>
    </row>
    <row r="602" spans="1:13" ht="22.5" x14ac:dyDescent="0.25">
      <c r="A602" s="5" t="s">
        <v>692</v>
      </c>
      <c r="B602" s="6" t="s">
        <v>715</v>
      </c>
      <c r="C602" s="6" t="s">
        <v>15</v>
      </c>
      <c r="D602" s="6" t="s">
        <v>16</v>
      </c>
      <c r="E602" s="6" t="s">
        <v>3</v>
      </c>
      <c r="F602" s="6" t="s">
        <v>17</v>
      </c>
      <c r="G602" s="5" t="s">
        <v>723</v>
      </c>
      <c r="H602" s="6" t="s">
        <v>19</v>
      </c>
      <c r="I602" s="7">
        <v>256</v>
      </c>
      <c r="J602" s="6" t="s">
        <v>722</v>
      </c>
      <c r="K602" s="61"/>
      <c r="L602" s="20">
        <f>0.0256*68.16*117.5809</f>
        <v>205.1664420864</v>
      </c>
      <c r="M602" s="20">
        <f>L602*0.3</f>
        <v>61.549932625919993</v>
      </c>
    </row>
    <row r="603" spans="1:13" x14ac:dyDescent="0.25">
      <c r="A603" s="5"/>
      <c r="B603" s="6"/>
      <c r="C603" s="6"/>
      <c r="D603" s="6"/>
      <c r="E603" s="6"/>
      <c r="F603" s="6"/>
      <c r="G603" s="5"/>
      <c r="H603" s="13" t="s">
        <v>25</v>
      </c>
      <c r="I603" s="7">
        <f>+SUM(I601:I602)</f>
        <v>1192</v>
      </c>
      <c r="J603" s="6"/>
      <c r="K603" s="62"/>
      <c r="L603" s="19">
        <f>+SUM(L601:L602)</f>
        <v>955.30624596480004</v>
      </c>
      <c r="M603" s="19">
        <f>+SUM(M601:M602)</f>
        <v>286.59187378944</v>
      </c>
    </row>
    <row r="604" spans="1:13" ht="22.5" x14ac:dyDescent="0.25">
      <c r="A604" s="5" t="s">
        <v>692</v>
      </c>
      <c r="B604" s="6" t="s">
        <v>715</v>
      </c>
      <c r="C604" s="6" t="s">
        <v>15</v>
      </c>
      <c r="D604" s="6" t="s">
        <v>16</v>
      </c>
      <c r="E604" s="6" t="s">
        <v>3</v>
      </c>
      <c r="F604" s="6" t="s">
        <v>17</v>
      </c>
      <c r="G604" s="5" t="s">
        <v>724</v>
      </c>
      <c r="H604" s="6" t="s">
        <v>19</v>
      </c>
      <c r="I604" s="7">
        <v>1535</v>
      </c>
      <c r="J604" s="6" t="s">
        <v>722</v>
      </c>
      <c r="K604" s="24">
        <v>13</v>
      </c>
      <c r="L604" s="22">
        <f>0.1535*68.16*117.5809</f>
        <v>1230.1972211039999</v>
      </c>
      <c r="M604" s="22">
        <f t="shared" ref="M604:M644" si="38">L604*0.3</f>
        <v>369.05916633119995</v>
      </c>
    </row>
    <row r="605" spans="1:13" ht="22.5" x14ac:dyDescent="0.25">
      <c r="A605" s="5" t="s">
        <v>692</v>
      </c>
      <c r="B605" s="6" t="s">
        <v>715</v>
      </c>
      <c r="C605" s="6" t="s">
        <v>15</v>
      </c>
      <c r="D605" s="6" t="s">
        <v>16</v>
      </c>
      <c r="E605" s="6" t="s">
        <v>3</v>
      </c>
      <c r="F605" s="6" t="s">
        <v>17</v>
      </c>
      <c r="G605" s="5" t="s">
        <v>725</v>
      </c>
      <c r="H605" s="6" t="s">
        <v>179</v>
      </c>
      <c r="I605" s="7">
        <v>2433</v>
      </c>
      <c r="J605" s="6" t="s">
        <v>726</v>
      </c>
      <c r="K605" s="60">
        <v>14</v>
      </c>
      <c r="L605" s="16">
        <f>0.2433*280.51*117.5809</f>
        <v>8024.6710224146991</v>
      </c>
      <c r="M605" s="16">
        <f t="shared" si="38"/>
        <v>2407.4013067244096</v>
      </c>
    </row>
    <row r="606" spans="1:13" ht="22.5" x14ac:dyDescent="0.25">
      <c r="A606" s="5" t="s">
        <v>692</v>
      </c>
      <c r="B606" s="6" t="s">
        <v>715</v>
      </c>
      <c r="C606" s="6" t="s">
        <v>15</v>
      </c>
      <c r="D606" s="6" t="s">
        <v>16</v>
      </c>
      <c r="E606" s="6" t="s">
        <v>3</v>
      </c>
      <c r="F606" s="6" t="s">
        <v>17</v>
      </c>
      <c r="G606" s="5" t="s">
        <v>727</v>
      </c>
      <c r="H606" s="6" t="s">
        <v>179</v>
      </c>
      <c r="I606" s="7">
        <v>195</v>
      </c>
      <c r="J606" s="6" t="s">
        <v>726</v>
      </c>
      <c r="K606" s="61"/>
      <c r="L606" s="12">
        <f>0.0195*280.51*117.5809</f>
        <v>643.16105605049995</v>
      </c>
      <c r="M606" s="12">
        <f t="shared" si="38"/>
        <v>192.94831681514998</v>
      </c>
    </row>
    <row r="607" spans="1:13" ht="22.5" x14ac:dyDescent="0.25">
      <c r="A607" s="5" t="s">
        <v>692</v>
      </c>
      <c r="B607" s="6" t="s">
        <v>715</v>
      </c>
      <c r="C607" s="6" t="s">
        <v>15</v>
      </c>
      <c r="D607" s="6" t="s">
        <v>16</v>
      </c>
      <c r="E607" s="6" t="s">
        <v>3</v>
      </c>
      <c r="F607" s="6" t="s">
        <v>17</v>
      </c>
      <c r="G607" s="5" t="s">
        <v>728</v>
      </c>
      <c r="H607" s="6" t="s">
        <v>179</v>
      </c>
      <c r="I607" s="7">
        <v>469</v>
      </c>
      <c r="J607" s="6" t="s">
        <v>726</v>
      </c>
      <c r="K607" s="61"/>
      <c r="L607" s="16">
        <f>0.0469*280.51*117.5809</f>
        <v>1546.8847963470998</v>
      </c>
      <c r="M607" s="16">
        <f t="shared" si="38"/>
        <v>464.06543890412991</v>
      </c>
    </row>
    <row r="608" spans="1:13" ht="22.5" x14ac:dyDescent="0.25">
      <c r="A608" s="5" t="s">
        <v>692</v>
      </c>
      <c r="B608" s="6" t="s">
        <v>715</v>
      </c>
      <c r="C608" s="6" t="s">
        <v>15</v>
      </c>
      <c r="D608" s="6" t="s">
        <v>16</v>
      </c>
      <c r="E608" s="6" t="s">
        <v>3</v>
      </c>
      <c r="F608" s="6" t="s">
        <v>17</v>
      </c>
      <c r="G608" s="5" t="s">
        <v>729</v>
      </c>
      <c r="H608" s="6" t="s">
        <v>179</v>
      </c>
      <c r="I608" s="7">
        <v>8</v>
      </c>
      <c r="J608" s="6" t="s">
        <v>726</v>
      </c>
      <c r="K608" s="61"/>
      <c r="L608" s="12">
        <f>0.0008*280.51*117.5809</f>
        <v>26.3860946072</v>
      </c>
      <c r="M608" s="12">
        <f t="shared" si="38"/>
        <v>7.91582838216</v>
      </c>
    </row>
    <row r="609" spans="1:13" ht="22.5" x14ac:dyDescent="0.25">
      <c r="A609" s="5" t="s">
        <v>692</v>
      </c>
      <c r="B609" s="6" t="s">
        <v>715</v>
      </c>
      <c r="C609" s="6" t="s">
        <v>15</v>
      </c>
      <c r="D609" s="6" t="s">
        <v>16</v>
      </c>
      <c r="E609" s="6" t="s">
        <v>3</v>
      </c>
      <c r="F609" s="6" t="s">
        <v>17</v>
      </c>
      <c r="G609" s="5" t="s">
        <v>730</v>
      </c>
      <c r="H609" s="6" t="s">
        <v>179</v>
      </c>
      <c r="I609" s="7">
        <v>583</v>
      </c>
      <c r="J609" s="6" t="s">
        <v>726</v>
      </c>
      <c r="K609" s="61"/>
      <c r="L609" s="16">
        <f>0.0583*280.51*117.5809</f>
        <v>1922.8866444996997</v>
      </c>
      <c r="M609" s="16">
        <f t="shared" si="38"/>
        <v>576.8659933499099</v>
      </c>
    </row>
    <row r="610" spans="1:13" ht="22.5" x14ac:dyDescent="0.25">
      <c r="A610" s="5" t="s">
        <v>692</v>
      </c>
      <c r="B610" s="6" t="s">
        <v>715</v>
      </c>
      <c r="C610" s="6" t="s">
        <v>15</v>
      </c>
      <c r="D610" s="6" t="s">
        <v>16</v>
      </c>
      <c r="E610" s="6" t="s">
        <v>3</v>
      </c>
      <c r="F610" s="6" t="s">
        <v>17</v>
      </c>
      <c r="G610" s="5" t="s">
        <v>731</v>
      </c>
      <c r="H610" s="6" t="s">
        <v>179</v>
      </c>
      <c r="I610" s="7">
        <v>578</v>
      </c>
      <c r="J610" s="6" t="s">
        <v>726</v>
      </c>
      <c r="K610" s="61"/>
      <c r="L610" s="12">
        <f>0.0578*280.51*117.5809</f>
        <v>1906.3953353701997</v>
      </c>
      <c r="M610" s="12">
        <f t="shared" si="38"/>
        <v>571.9186006110599</v>
      </c>
    </row>
    <row r="611" spans="1:13" ht="22.5" x14ac:dyDescent="0.25">
      <c r="A611" s="5" t="s">
        <v>692</v>
      </c>
      <c r="B611" s="6" t="s">
        <v>715</v>
      </c>
      <c r="C611" s="6" t="s">
        <v>15</v>
      </c>
      <c r="D611" s="6" t="s">
        <v>16</v>
      </c>
      <c r="E611" s="6" t="s">
        <v>3</v>
      </c>
      <c r="F611" s="6" t="s">
        <v>17</v>
      </c>
      <c r="G611" s="5" t="s">
        <v>732</v>
      </c>
      <c r="H611" s="6" t="s">
        <v>179</v>
      </c>
      <c r="I611" s="7">
        <v>497</v>
      </c>
      <c r="J611" s="6" t="s">
        <v>726</v>
      </c>
      <c r="K611" s="61"/>
      <c r="L611" s="16">
        <f>0.0497*280.51*117.5809</f>
        <v>1639.2361274723</v>
      </c>
      <c r="M611" s="16">
        <f t="shared" si="38"/>
        <v>491.77083824169</v>
      </c>
    </row>
    <row r="612" spans="1:13" ht="22.5" x14ac:dyDescent="0.25">
      <c r="A612" s="5" t="s">
        <v>692</v>
      </c>
      <c r="B612" s="6" t="s">
        <v>715</v>
      </c>
      <c r="C612" s="6" t="s">
        <v>15</v>
      </c>
      <c r="D612" s="6" t="s">
        <v>16</v>
      </c>
      <c r="E612" s="6" t="s">
        <v>3</v>
      </c>
      <c r="F612" s="6" t="s">
        <v>17</v>
      </c>
      <c r="G612" s="5" t="s">
        <v>733</v>
      </c>
      <c r="H612" s="6" t="s">
        <v>179</v>
      </c>
      <c r="I612" s="7">
        <v>414</v>
      </c>
      <c r="J612" s="6" t="s">
        <v>726</v>
      </c>
      <c r="K612" s="61"/>
      <c r="L612" s="12">
        <f>0.0414*280.51*117.5809</f>
        <v>1365.4803959225999</v>
      </c>
      <c r="M612" s="12">
        <f t="shared" si="38"/>
        <v>409.64411877677998</v>
      </c>
    </row>
    <row r="613" spans="1:13" ht="22.5" x14ac:dyDescent="0.25">
      <c r="A613" s="5" t="s">
        <v>692</v>
      </c>
      <c r="B613" s="6" t="s">
        <v>715</v>
      </c>
      <c r="C613" s="6" t="s">
        <v>15</v>
      </c>
      <c r="D613" s="6" t="s">
        <v>16</v>
      </c>
      <c r="E613" s="6" t="s">
        <v>3</v>
      </c>
      <c r="F613" s="6" t="s">
        <v>17</v>
      </c>
      <c r="G613" s="5" t="s">
        <v>734</v>
      </c>
      <c r="H613" s="6" t="s">
        <v>179</v>
      </c>
      <c r="I613" s="7">
        <v>391</v>
      </c>
      <c r="J613" s="6" t="s">
        <v>726</v>
      </c>
      <c r="K613" s="61"/>
      <c r="L613" s="16">
        <f>0.0391*280.51*117.5809</f>
        <v>1289.6203739268999</v>
      </c>
      <c r="M613" s="16">
        <f t="shared" si="38"/>
        <v>386.88611217806994</v>
      </c>
    </row>
    <row r="614" spans="1:13" ht="22.5" x14ac:dyDescent="0.25">
      <c r="A614" s="5" t="s">
        <v>692</v>
      </c>
      <c r="B614" s="6" t="s">
        <v>715</v>
      </c>
      <c r="C614" s="6" t="s">
        <v>15</v>
      </c>
      <c r="D614" s="6" t="s">
        <v>16</v>
      </c>
      <c r="E614" s="6" t="s">
        <v>3</v>
      </c>
      <c r="F614" s="6" t="s">
        <v>17</v>
      </c>
      <c r="G614" s="5" t="s">
        <v>735</v>
      </c>
      <c r="H614" s="6" t="s">
        <v>179</v>
      </c>
      <c r="I614" s="7">
        <v>440</v>
      </c>
      <c r="J614" s="6" t="s">
        <v>726</v>
      </c>
      <c r="K614" s="61"/>
      <c r="L614" s="12">
        <f>0.044*280.51*117.5809</f>
        <v>1451.2352033959999</v>
      </c>
      <c r="M614" s="12">
        <f t="shared" si="38"/>
        <v>435.37056101879995</v>
      </c>
    </row>
    <row r="615" spans="1:13" ht="22.5" x14ac:dyDescent="0.25">
      <c r="A615" s="5" t="s">
        <v>692</v>
      </c>
      <c r="B615" s="6" t="s">
        <v>715</v>
      </c>
      <c r="C615" s="6" t="s">
        <v>15</v>
      </c>
      <c r="D615" s="6" t="s">
        <v>16</v>
      </c>
      <c r="E615" s="6" t="s">
        <v>3</v>
      </c>
      <c r="F615" s="6" t="s">
        <v>17</v>
      </c>
      <c r="G615" s="5" t="s">
        <v>736</v>
      </c>
      <c r="H615" s="6" t="s">
        <v>179</v>
      </c>
      <c r="I615" s="7">
        <v>430</v>
      </c>
      <c r="J615" s="6" t="s">
        <v>726</v>
      </c>
      <c r="K615" s="61"/>
      <c r="L615" s="16">
        <f>0.043*280.51*117.5809</f>
        <v>1418.2525851369999</v>
      </c>
      <c r="M615" s="16">
        <f t="shared" si="38"/>
        <v>425.47577554109995</v>
      </c>
    </row>
    <row r="616" spans="1:13" ht="22.5" x14ac:dyDescent="0.25">
      <c r="A616" s="5" t="s">
        <v>692</v>
      </c>
      <c r="B616" s="6" t="s">
        <v>715</v>
      </c>
      <c r="C616" s="6" t="s">
        <v>15</v>
      </c>
      <c r="D616" s="6" t="s">
        <v>16</v>
      </c>
      <c r="E616" s="6" t="s">
        <v>3</v>
      </c>
      <c r="F616" s="6" t="s">
        <v>17</v>
      </c>
      <c r="G616" s="5" t="s">
        <v>737</v>
      </c>
      <c r="H616" s="6" t="s">
        <v>179</v>
      </c>
      <c r="I616" s="7">
        <v>443</v>
      </c>
      <c r="J616" s="6" t="s">
        <v>726</v>
      </c>
      <c r="K616" s="61"/>
      <c r="L616" s="12">
        <f>0.0443*280.51*117.5809</f>
        <v>1461.1299888736999</v>
      </c>
      <c r="M616" s="12">
        <f t="shared" si="38"/>
        <v>438.33899666210993</v>
      </c>
    </row>
    <row r="617" spans="1:13" ht="22.5" x14ac:dyDescent="0.25">
      <c r="A617" s="5" t="s">
        <v>692</v>
      </c>
      <c r="B617" s="6" t="s">
        <v>715</v>
      </c>
      <c r="C617" s="6" t="s">
        <v>15</v>
      </c>
      <c r="D617" s="6" t="s">
        <v>16</v>
      </c>
      <c r="E617" s="6" t="s">
        <v>3</v>
      </c>
      <c r="F617" s="6" t="s">
        <v>17</v>
      </c>
      <c r="G617" s="5" t="s">
        <v>738</v>
      </c>
      <c r="H617" s="6" t="s">
        <v>179</v>
      </c>
      <c r="I617" s="7">
        <v>446</v>
      </c>
      <c r="J617" s="6" t="s">
        <v>726</v>
      </c>
      <c r="K617" s="61"/>
      <c r="L617" s="16">
        <f>0.0446*280.51*117.5809</f>
        <v>1471.0247743513999</v>
      </c>
      <c r="M617" s="16">
        <f t="shared" si="38"/>
        <v>441.30743230541992</v>
      </c>
    </row>
    <row r="618" spans="1:13" ht="22.5" x14ac:dyDescent="0.25">
      <c r="A618" s="5" t="s">
        <v>692</v>
      </c>
      <c r="B618" s="6" t="s">
        <v>715</v>
      </c>
      <c r="C618" s="6" t="s">
        <v>15</v>
      </c>
      <c r="D618" s="6" t="s">
        <v>16</v>
      </c>
      <c r="E618" s="6" t="s">
        <v>3</v>
      </c>
      <c r="F618" s="6" t="s">
        <v>17</v>
      </c>
      <c r="G618" s="5" t="s">
        <v>739</v>
      </c>
      <c r="H618" s="6" t="s">
        <v>179</v>
      </c>
      <c r="I618" s="7">
        <v>129</v>
      </c>
      <c r="J618" s="6" t="s">
        <v>726</v>
      </c>
      <c r="K618" s="61"/>
      <c r="L618" s="16">
        <f>0.0129*280.51*117.5809</f>
        <v>425.47577554110001</v>
      </c>
      <c r="M618" s="16">
        <f t="shared" si="38"/>
        <v>127.64273266232999</v>
      </c>
    </row>
    <row r="619" spans="1:13" ht="22.5" x14ac:dyDescent="0.25">
      <c r="A619" s="5" t="s">
        <v>692</v>
      </c>
      <c r="B619" s="6" t="s">
        <v>715</v>
      </c>
      <c r="C619" s="6" t="s">
        <v>15</v>
      </c>
      <c r="D619" s="6" t="s">
        <v>16</v>
      </c>
      <c r="E619" s="6" t="s">
        <v>3</v>
      </c>
      <c r="F619" s="6" t="s">
        <v>17</v>
      </c>
      <c r="G619" s="5" t="s">
        <v>740</v>
      </c>
      <c r="H619" s="6" t="s">
        <v>179</v>
      </c>
      <c r="I619" s="7">
        <v>1148</v>
      </c>
      <c r="J619" s="6" t="s">
        <v>726</v>
      </c>
      <c r="K619" s="61"/>
      <c r="L619" s="16">
        <f>0.1148*280.51*117.5809</f>
        <v>3786.4045761332</v>
      </c>
      <c r="M619" s="16">
        <f t="shared" si="38"/>
        <v>1135.92137283996</v>
      </c>
    </row>
    <row r="620" spans="1:13" ht="22.5" x14ac:dyDescent="0.25">
      <c r="A620" s="5" t="s">
        <v>692</v>
      </c>
      <c r="B620" s="6" t="s">
        <v>715</v>
      </c>
      <c r="C620" s="6" t="s">
        <v>15</v>
      </c>
      <c r="D620" s="6" t="s">
        <v>16</v>
      </c>
      <c r="E620" s="6" t="s">
        <v>3</v>
      </c>
      <c r="F620" s="6" t="s">
        <v>17</v>
      </c>
      <c r="G620" s="5" t="s">
        <v>741</v>
      </c>
      <c r="H620" s="6" t="s">
        <v>179</v>
      </c>
      <c r="I620" s="7">
        <v>386</v>
      </c>
      <c r="J620" s="6" t="s">
        <v>726</v>
      </c>
      <c r="K620" s="61"/>
      <c r="L620" s="12">
        <f>0.0386*280.51*117.5809</f>
        <v>1273.1290647973999</v>
      </c>
      <c r="M620" s="12">
        <f t="shared" si="38"/>
        <v>381.93871943921994</v>
      </c>
    </row>
    <row r="621" spans="1:13" ht="22.5" x14ac:dyDescent="0.25">
      <c r="A621" s="5" t="s">
        <v>692</v>
      </c>
      <c r="B621" s="6" t="s">
        <v>715</v>
      </c>
      <c r="C621" s="6" t="s">
        <v>15</v>
      </c>
      <c r="D621" s="6" t="s">
        <v>16</v>
      </c>
      <c r="E621" s="6" t="s">
        <v>3</v>
      </c>
      <c r="F621" s="6" t="s">
        <v>17</v>
      </c>
      <c r="G621" s="5" t="s">
        <v>742</v>
      </c>
      <c r="H621" s="6" t="s">
        <v>179</v>
      </c>
      <c r="I621" s="7">
        <v>609</v>
      </c>
      <c r="J621" s="6" t="s">
        <v>726</v>
      </c>
      <c r="K621" s="61"/>
      <c r="L621" s="16">
        <f>0.0609*280.51*117.5809</f>
        <v>2008.6414519730999</v>
      </c>
      <c r="M621" s="16">
        <f t="shared" si="38"/>
        <v>602.59243559192998</v>
      </c>
    </row>
    <row r="622" spans="1:13" ht="22.5" x14ac:dyDescent="0.25">
      <c r="A622" s="5" t="s">
        <v>692</v>
      </c>
      <c r="B622" s="6" t="s">
        <v>715</v>
      </c>
      <c r="C622" s="6" t="s">
        <v>15</v>
      </c>
      <c r="D622" s="6" t="s">
        <v>16</v>
      </c>
      <c r="E622" s="6" t="s">
        <v>3</v>
      </c>
      <c r="F622" s="6" t="s">
        <v>17</v>
      </c>
      <c r="G622" s="5" t="s">
        <v>743</v>
      </c>
      <c r="H622" s="6" t="s">
        <v>179</v>
      </c>
      <c r="I622" s="7">
        <v>24</v>
      </c>
      <c r="J622" s="6" t="s">
        <v>726</v>
      </c>
      <c r="K622" s="61"/>
      <c r="L622" s="12">
        <f>0.0024*280.51*117.5809</f>
        <v>79.158283821599994</v>
      </c>
      <c r="M622" s="12">
        <f t="shared" si="38"/>
        <v>23.747485146479999</v>
      </c>
    </row>
    <row r="623" spans="1:13" ht="22.5" x14ac:dyDescent="0.25">
      <c r="A623" s="5" t="s">
        <v>692</v>
      </c>
      <c r="B623" s="6" t="s">
        <v>715</v>
      </c>
      <c r="C623" s="6" t="s">
        <v>15</v>
      </c>
      <c r="D623" s="6" t="s">
        <v>16</v>
      </c>
      <c r="E623" s="6" t="s">
        <v>3</v>
      </c>
      <c r="F623" s="6" t="s">
        <v>17</v>
      </c>
      <c r="G623" s="5" t="s">
        <v>744</v>
      </c>
      <c r="H623" s="6" t="s">
        <v>179</v>
      </c>
      <c r="I623" s="7">
        <v>650</v>
      </c>
      <c r="J623" s="6" t="s">
        <v>726</v>
      </c>
      <c r="K623" s="61"/>
      <c r="L623" s="16">
        <f>0.065*280.51*117.5809</f>
        <v>2143.8701868349999</v>
      </c>
      <c r="M623" s="16">
        <f t="shared" si="38"/>
        <v>643.16105605049995</v>
      </c>
    </row>
    <row r="624" spans="1:13" ht="22.5" x14ac:dyDescent="0.25">
      <c r="A624" s="5" t="s">
        <v>692</v>
      </c>
      <c r="B624" s="6" t="s">
        <v>715</v>
      </c>
      <c r="C624" s="6" t="s">
        <v>15</v>
      </c>
      <c r="D624" s="6" t="s">
        <v>16</v>
      </c>
      <c r="E624" s="6" t="s">
        <v>3</v>
      </c>
      <c r="F624" s="6" t="s">
        <v>17</v>
      </c>
      <c r="G624" s="5" t="s">
        <v>745</v>
      </c>
      <c r="H624" s="6" t="s">
        <v>179</v>
      </c>
      <c r="I624" s="7">
        <v>735</v>
      </c>
      <c r="J624" s="6" t="s">
        <v>726</v>
      </c>
      <c r="K624" s="61"/>
      <c r="L624" s="12">
        <f>0.0735*280.51*117.5809</f>
        <v>2424.2224420364996</v>
      </c>
      <c r="M624" s="12">
        <f t="shared" si="38"/>
        <v>727.26673261094982</v>
      </c>
    </row>
    <row r="625" spans="1:13" ht="22.5" x14ac:dyDescent="0.25">
      <c r="A625" s="5" t="s">
        <v>692</v>
      </c>
      <c r="B625" s="6" t="s">
        <v>715</v>
      </c>
      <c r="C625" s="6" t="s">
        <v>15</v>
      </c>
      <c r="D625" s="6" t="s">
        <v>16</v>
      </c>
      <c r="E625" s="6" t="s">
        <v>3</v>
      </c>
      <c r="F625" s="6" t="s">
        <v>17</v>
      </c>
      <c r="G625" s="5" t="s">
        <v>746</v>
      </c>
      <c r="H625" s="6" t="s">
        <v>179</v>
      </c>
      <c r="I625" s="7">
        <v>131</v>
      </c>
      <c r="J625" s="6" t="s">
        <v>726</v>
      </c>
      <c r="K625" s="61"/>
      <c r="L625" s="16">
        <f>0.0131*280.51*117.5809</f>
        <v>432.0722991929</v>
      </c>
      <c r="M625" s="16">
        <f t="shared" si="38"/>
        <v>129.62168975787</v>
      </c>
    </row>
    <row r="626" spans="1:13" ht="22.5" x14ac:dyDescent="0.25">
      <c r="A626" s="5" t="s">
        <v>692</v>
      </c>
      <c r="B626" s="6" t="s">
        <v>715</v>
      </c>
      <c r="C626" s="6" t="s">
        <v>15</v>
      </c>
      <c r="D626" s="6" t="s">
        <v>16</v>
      </c>
      <c r="E626" s="6" t="s">
        <v>3</v>
      </c>
      <c r="F626" s="6" t="s">
        <v>17</v>
      </c>
      <c r="G626" s="5" t="s">
        <v>747</v>
      </c>
      <c r="H626" s="6" t="s">
        <v>179</v>
      </c>
      <c r="I626" s="7">
        <v>552</v>
      </c>
      <c r="J626" s="6" t="s">
        <v>726</v>
      </c>
      <c r="K626" s="61"/>
      <c r="L626" s="12">
        <f>0.0552*280.51*117.5809</f>
        <v>1820.6405278968</v>
      </c>
      <c r="M626" s="12">
        <f t="shared" si="38"/>
        <v>546.19215836903993</v>
      </c>
    </row>
    <row r="627" spans="1:13" ht="22.5" x14ac:dyDescent="0.25">
      <c r="A627" s="5" t="s">
        <v>692</v>
      </c>
      <c r="B627" s="6" t="s">
        <v>715</v>
      </c>
      <c r="C627" s="6" t="s">
        <v>15</v>
      </c>
      <c r="D627" s="6" t="s">
        <v>16</v>
      </c>
      <c r="E627" s="6" t="s">
        <v>3</v>
      </c>
      <c r="F627" s="6" t="s">
        <v>17</v>
      </c>
      <c r="G627" s="5" t="s">
        <v>748</v>
      </c>
      <c r="H627" s="6" t="s">
        <v>179</v>
      </c>
      <c r="I627" s="7">
        <v>399</v>
      </c>
      <c r="J627" s="6" t="s">
        <v>726</v>
      </c>
      <c r="K627" s="61"/>
      <c r="L627" s="16">
        <f>0.0399*280.51*117.5809</f>
        <v>1316.0064685340999</v>
      </c>
      <c r="M627" s="16">
        <f t="shared" si="38"/>
        <v>394.80194056022998</v>
      </c>
    </row>
    <row r="628" spans="1:13" ht="22.5" x14ac:dyDescent="0.25">
      <c r="A628" s="5" t="s">
        <v>692</v>
      </c>
      <c r="B628" s="6" t="s">
        <v>715</v>
      </c>
      <c r="C628" s="6" t="s">
        <v>15</v>
      </c>
      <c r="D628" s="6" t="s">
        <v>16</v>
      </c>
      <c r="E628" s="6" t="s">
        <v>3</v>
      </c>
      <c r="F628" s="6" t="s">
        <v>17</v>
      </c>
      <c r="G628" s="5" t="s">
        <v>749</v>
      </c>
      <c r="H628" s="6" t="s">
        <v>179</v>
      </c>
      <c r="I628" s="7">
        <v>432</v>
      </c>
      <c r="J628" s="6" t="s">
        <v>726</v>
      </c>
      <c r="K628" s="61"/>
      <c r="L628" s="12">
        <f>0.0432*280.51*117.5809</f>
        <v>1424.8491087887999</v>
      </c>
      <c r="M628" s="12">
        <f t="shared" si="38"/>
        <v>427.45473263663996</v>
      </c>
    </row>
    <row r="629" spans="1:13" ht="22.5" x14ac:dyDescent="0.25">
      <c r="A629" s="5" t="s">
        <v>692</v>
      </c>
      <c r="B629" s="6" t="s">
        <v>715</v>
      </c>
      <c r="C629" s="6" t="s">
        <v>15</v>
      </c>
      <c r="D629" s="6" t="s">
        <v>16</v>
      </c>
      <c r="E629" s="6" t="s">
        <v>3</v>
      </c>
      <c r="F629" s="6" t="s">
        <v>17</v>
      </c>
      <c r="G629" s="5" t="s">
        <v>750</v>
      </c>
      <c r="H629" s="6" t="s">
        <v>179</v>
      </c>
      <c r="I629" s="7">
        <v>491</v>
      </c>
      <c r="J629" s="6" t="s">
        <v>726</v>
      </c>
      <c r="K629" s="61"/>
      <c r="L629" s="16">
        <f>0.0491*280.51*117.5809</f>
        <v>1619.4465565168998</v>
      </c>
      <c r="M629" s="16">
        <f t="shared" si="38"/>
        <v>485.83396695506991</v>
      </c>
    </row>
    <row r="630" spans="1:13" ht="22.5" x14ac:dyDescent="0.25">
      <c r="A630" s="5" t="s">
        <v>692</v>
      </c>
      <c r="B630" s="6" t="s">
        <v>715</v>
      </c>
      <c r="C630" s="6" t="s">
        <v>15</v>
      </c>
      <c r="D630" s="6" t="s">
        <v>16</v>
      </c>
      <c r="E630" s="6" t="s">
        <v>3</v>
      </c>
      <c r="F630" s="6" t="s">
        <v>17</v>
      </c>
      <c r="G630" s="5" t="s">
        <v>751</v>
      </c>
      <c r="H630" s="6" t="s">
        <v>179</v>
      </c>
      <c r="I630" s="7">
        <v>427</v>
      </c>
      <c r="J630" s="6" t="s">
        <v>726</v>
      </c>
      <c r="K630" s="61"/>
      <c r="L630" s="12">
        <f>0.0427*280.51*117.5809</f>
        <v>1408.3577996592999</v>
      </c>
      <c r="M630" s="12">
        <f t="shared" si="38"/>
        <v>422.50733989778996</v>
      </c>
    </row>
    <row r="631" spans="1:13" ht="22.5" x14ac:dyDescent="0.25">
      <c r="A631" s="5" t="s">
        <v>692</v>
      </c>
      <c r="B631" s="6" t="s">
        <v>715</v>
      </c>
      <c r="C631" s="6" t="s">
        <v>15</v>
      </c>
      <c r="D631" s="6" t="s">
        <v>16</v>
      </c>
      <c r="E631" s="6" t="s">
        <v>3</v>
      </c>
      <c r="F631" s="6" t="s">
        <v>17</v>
      </c>
      <c r="G631" s="5" t="s">
        <v>752</v>
      </c>
      <c r="H631" s="6" t="s">
        <v>179</v>
      </c>
      <c r="I631" s="7">
        <v>60</v>
      </c>
      <c r="J631" s="6" t="s">
        <v>726</v>
      </c>
      <c r="K631" s="61"/>
      <c r="L631" s="16">
        <f>0.006*280.51*117.5809</f>
        <v>197.89570955400001</v>
      </c>
      <c r="M631" s="16">
        <f t="shared" si="38"/>
        <v>59.368712866199999</v>
      </c>
    </row>
    <row r="632" spans="1:13" ht="22.5" x14ac:dyDescent="0.25">
      <c r="A632" s="5" t="s">
        <v>692</v>
      </c>
      <c r="B632" s="6" t="s">
        <v>715</v>
      </c>
      <c r="C632" s="6" t="s">
        <v>15</v>
      </c>
      <c r="D632" s="6" t="s">
        <v>16</v>
      </c>
      <c r="E632" s="6" t="s">
        <v>3</v>
      </c>
      <c r="F632" s="6" t="s">
        <v>17</v>
      </c>
      <c r="G632" s="5" t="s">
        <v>753</v>
      </c>
      <c r="H632" s="6" t="s">
        <v>179</v>
      </c>
      <c r="I632" s="7">
        <v>5</v>
      </c>
      <c r="J632" s="6" t="s">
        <v>726</v>
      </c>
      <c r="K632" s="61"/>
      <c r="L632" s="12">
        <f>0.0005*280.51*117.5809</f>
        <v>16.491309129499999</v>
      </c>
      <c r="M632" s="12">
        <f t="shared" si="38"/>
        <v>4.9473927388499996</v>
      </c>
    </row>
    <row r="633" spans="1:13" ht="22.5" x14ac:dyDescent="0.25">
      <c r="A633" s="5" t="s">
        <v>692</v>
      </c>
      <c r="B633" s="6" t="s">
        <v>715</v>
      </c>
      <c r="C633" s="6" t="s">
        <v>15</v>
      </c>
      <c r="D633" s="6" t="s">
        <v>16</v>
      </c>
      <c r="E633" s="6" t="s">
        <v>3</v>
      </c>
      <c r="F633" s="6" t="s">
        <v>17</v>
      </c>
      <c r="G633" s="5" t="s">
        <v>754</v>
      </c>
      <c r="H633" s="6" t="s">
        <v>179</v>
      </c>
      <c r="I633" s="7">
        <v>26</v>
      </c>
      <c r="J633" s="6" t="s">
        <v>726</v>
      </c>
      <c r="K633" s="61"/>
      <c r="L633" s="16">
        <f>0.0026*280.51*117.5809</f>
        <v>85.754807473399993</v>
      </c>
      <c r="M633" s="16">
        <f t="shared" si="38"/>
        <v>25.726442242019996</v>
      </c>
    </row>
    <row r="634" spans="1:13" ht="22.5" x14ac:dyDescent="0.25">
      <c r="A634" s="5" t="s">
        <v>692</v>
      </c>
      <c r="B634" s="6" t="s">
        <v>715</v>
      </c>
      <c r="C634" s="6" t="s">
        <v>15</v>
      </c>
      <c r="D634" s="6" t="s">
        <v>16</v>
      </c>
      <c r="E634" s="6" t="s">
        <v>3</v>
      </c>
      <c r="F634" s="6" t="s">
        <v>17</v>
      </c>
      <c r="G634" s="5" t="s">
        <v>755</v>
      </c>
      <c r="H634" s="6" t="s">
        <v>22</v>
      </c>
      <c r="I634" s="7">
        <v>262</v>
      </c>
      <c r="J634" s="6" t="s">
        <v>726</v>
      </c>
      <c r="K634" s="61"/>
      <c r="L634" s="12">
        <f>0.0262*60.59*117.5809</f>
        <v>186.65474035220004</v>
      </c>
      <c r="M634" s="12">
        <f t="shared" si="38"/>
        <v>55.99642210566001</v>
      </c>
    </row>
    <row r="635" spans="1:13" ht="22.5" x14ac:dyDescent="0.25">
      <c r="A635" s="5" t="s">
        <v>692</v>
      </c>
      <c r="B635" s="6" t="s">
        <v>715</v>
      </c>
      <c r="C635" s="6" t="s">
        <v>15</v>
      </c>
      <c r="D635" s="6" t="s">
        <v>16</v>
      </c>
      <c r="E635" s="6" t="s">
        <v>3</v>
      </c>
      <c r="F635" s="6" t="s">
        <v>17</v>
      </c>
      <c r="G635" s="5" t="s">
        <v>756</v>
      </c>
      <c r="H635" s="6" t="s">
        <v>22</v>
      </c>
      <c r="I635" s="7">
        <v>1514</v>
      </c>
      <c r="J635" s="6" t="s">
        <v>726</v>
      </c>
      <c r="K635" s="61"/>
      <c r="L635" s="16">
        <f>0.1514*60.59*117.5809</f>
        <v>1078.6079270734001</v>
      </c>
      <c r="M635" s="16">
        <f t="shared" si="38"/>
        <v>323.58237812202003</v>
      </c>
    </row>
    <row r="636" spans="1:13" ht="22.5" x14ac:dyDescent="0.25">
      <c r="A636" s="5" t="s">
        <v>692</v>
      </c>
      <c r="B636" s="6" t="s">
        <v>715</v>
      </c>
      <c r="C636" s="6" t="s">
        <v>15</v>
      </c>
      <c r="D636" s="6" t="s">
        <v>16</v>
      </c>
      <c r="E636" s="6" t="s">
        <v>3</v>
      </c>
      <c r="F636" s="6" t="s">
        <v>17</v>
      </c>
      <c r="G636" s="5" t="s">
        <v>757</v>
      </c>
      <c r="H636" s="6" t="s">
        <v>22</v>
      </c>
      <c r="I636" s="7">
        <v>244</v>
      </c>
      <c r="J636" s="6" t="s">
        <v>726</v>
      </c>
      <c r="K636" s="61"/>
      <c r="L636" s="12">
        <f>0.0244*60.59*117.5809</f>
        <v>173.83113223640004</v>
      </c>
      <c r="M636" s="12">
        <f t="shared" si="38"/>
        <v>52.149339670920007</v>
      </c>
    </row>
    <row r="637" spans="1:13" ht="22.5" x14ac:dyDescent="0.25">
      <c r="A637" s="5" t="s">
        <v>692</v>
      </c>
      <c r="B637" s="6" t="s">
        <v>715</v>
      </c>
      <c r="C637" s="6" t="s">
        <v>15</v>
      </c>
      <c r="D637" s="6" t="s">
        <v>16</v>
      </c>
      <c r="E637" s="6" t="s">
        <v>3</v>
      </c>
      <c r="F637" s="6" t="s">
        <v>17</v>
      </c>
      <c r="G637" s="5" t="s">
        <v>758</v>
      </c>
      <c r="H637" s="6" t="s">
        <v>22</v>
      </c>
      <c r="I637" s="7">
        <v>481</v>
      </c>
      <c r="J637" s="6" t="s">
        <v>726</v>
      </c>
      <c r="K637" s="61"/>
      <c r="L637" s="16">
        <f>0.0481*60.59*117.5809</f>
        <v>342.67530576109999</v>
      </c>
      <c r="M637" s="16">
        <f t="shared" si="38"/>
        <v>102.80259172833</v>
      </c>
    </row>
    <row r="638" spans="1:13" ht="22.5" x14ac:dyDescent="0.25">
      <c r="A638" s="5" t="s">
        <v>692</v>
      </c>
      <c r="B638" s="6" t="s">
        <v>715</v>
      </c>
      <c r="C638" s="6" t="s">
        <v>15</v>
      </c>
      <c r="D638" s="6" t="s">
        <v>16</v>
      </c>
      <c r="E638" s="6" t="s">
        <v>3</v>
      </c>
      <c r="F638" s="6" t="s">
        <v>17</v>
      </c>
      <c r="G638" s="5" t="s">
        <v>759</v>
      </c>
      <c r="H638" s="6" t="s">
        <v>22</v>
      </c>
      <c r="I638" s="7">
        <v>44</v>
      </c>
      <c r="J638" s="6" t="s">
        <v>726</v>
      </c>
      <c r="K638" s="61"/>
      <c r="L638" s="12">
        <f>0.0044*60.59*117.5809</f>
        <v>31.346597616400008</v>
      </c>
      <c r="M638" s="12">
        <f t="shared" si="38"/>
        <v>9.4039792849200019</v>
      </c>
    </row>
    <row r="639" spans="1:13" ht="22.5" x14ac:dyDescent="0.25">
      <c r="A639" s="5" t="s">
        <v>692</v>
      </c>
      <c r="B639" s="6" t="s">
        <v>715</v>
      </c>
      <c r="C639" s="6" t="s">
        <v>15</v>
      </c>
      <c r="D639" s="6" t="s">
        <v>16</v>
      </c>
      <c r="E639" s="6" t="s">
        <v>3</v>
      </c>
      <c r="F639" s="6" t="s">
        <v>17</v>
      </c>
      <c r="G639" s="5" t="s">
        <v>760</v>
      </c>
      <c r="H639" s="6" t="s">
        <v>22</v>
      </c>
      <c r="I639" s="7">
        <v>215</v>
      </c>
      <c r="J639" s="6" t="s">
        <v>726</v>
      </c>
      <c r="K639" s="61"/>
      <c r="L639" s="16">
        <f>0.0215*60.59*117.5809</f>
        <v>153.17087471649998</v>
      </c>
      <c r="M639" s="16">
        <f t="shared" si="38"/>
        <v>45.951262414949994</v>
      </c>
    </row>
    <row r="640" spans="1:13" ht="22.5" x14ac:dyDescent="0.25">
      <c r="A640" s="5" t="s">
        <v>692</v>
      </c>
      <c r="B640" s="6" t="s">
        <v>715</v>
      </c>
      <c r="C640" s="6" t="s">
        <v>15</v>
      </c>
      <c r="D640" s="6" t="s">
        <v>16</v>
      </c>
      <c r="E640" s="6" t="s">
        <v>3</v>
      </c>
      <c r="F640" s="6" t="s">
        <v>17</v>
      </c>
      <c r="G640" s="5" t="s">
        <v>761</v>
      </c>
      <c r="H640" s="6" t="s">
        <v>22</v>
      </c>
      <c r="I640" s="7">
        <v>191</v>
      </c>
      <c r="J640" s="6" t="s">
        <v>726</v>
      </c>
      <c r="K640" s="61"/>
      <c r="L640" s="12">
        <f>0.0191*60.59*117.5809</f>
        <v>136.07273056210002</v>
      </c>
      <c r="M640" s="12">
        <f t="shared" si="38"/>
        <v>40.821819168630007</v>
      </c>
    </row>
    <row r="641" spans="1:13" ht="22.5" x14ac:dyDescent="0.25">
      <c r="A641" s="5" t="s">
        <v>692</v>
      </c>
      <c r="B641" s="6" t="s">
        <v>715</v>
      </c>
      <c r="C641" s="6" t="s">
        <v>15</v>
      </c>
      <c r="D641" s="6" t="s">
        <v>16</v>
      </c>
      <c r="E641" s="6" t="s">
        <v>3</v>
      </c>
      <c r="F641" s="6" t="s">
        <v>17</v>
      </c>
      <c r="G641" s="5" t="s">
        <v>762</v>
      </c>
      <c r="H641" s="6" t="s">
        <v>22</v>
      </c>
      <c r="I641" s="7">
        <v>167</v>
      </c>
      <c r="J641" s="6" t="s">
        <v>726</v>
      </c>
      <c r="K641" s="61"/>
      <c r="L641" s="16">
        <f>0.0167*60.59*117.5809</f>
        <v>118.97458640770002</v>
      </c>
      <c r="M641" s="16">
        <f t="shared" si="38"/>
        <v>35.692375922310006</v>
      </c>
    </row>
    <row r="642" spans="1:13" ht="22.5" x14ac:dyDescent="0.25">
      <c r="A642" s="5" t="s">
        <v>692</v>
      </c>
      <c r="B642" s="6" t="s">
        <v>715</v>
      </c>
      <c r="C642" s="6" t="s">
        <v>15</v>
      </c>
      <c r="D642" s="6" t="s">
        <v>16</v>
      </c>
      <c r="E642" s="6" t="s">
        <v>3</v>
      </c>
      <c r="F642" s="6" t="s">
        <v>17</v>
      </c>
      <c r="G642" s="5" t="s">
        <v>763</v>
      </c>
      <c r="H642" s="6" t="s">
        <v>22</v>
      </c>
      <c r="I642" s="7">
        <v>148</v>
      </c>
      <c r="J642" s="6" t="s">
        <v>726</v>
      </c>
      <c r="K642" s="61"/>
      <c r="L642" s="12">
        <f>0.0148*60.59*117.5809</f>
        <v>105.43855561880001</v>
      </c>
      <c r="M642" s="12">
        <f t="shared" si="38"/>
        <v>31.631566685640003</v>
      </c>
    </row>
    <row r="643" spans="1:13" ht="22.5" x14ac:dyDescent="0.25">
      <c r="A643" s="5" t="s">
        <v>692</v>
      </c>
      <c r="B643" s="6" t="s">
        <v>715</v>
      </c>
      <c r="C643" s="6" t="s">
        <v>15</v>
      </c>
      <c r="D643" s="6" t="s">
        <v>16</v>
      </c>
      <c r="E643" s="6" t="s">
        <v>3</v>
      </c>
      <c r="F643" s="6" t="s">
        <v>17</v>
      </c>
      <c r="G643" s="5" t="s">
        <v>764</v>
      </c>
      <c r="H643" s="6" t="s">
        <v>22</v>
      </c>
      <c r="I643" s="7">
        <v>122</v>
      </c>
      <c r="J643" s="6" t="s">
        <v>726</v>
      </c>
      <c r="K643" s="61"/>
      <c r="L643" s="16">
        <f>0.0122*60.59*117.5704</f>
        <v>86.907804539200015</v>
      </c>
      <c r="M643" s="16">
        <f t="shared" si="38"/>
        <v>26.072341361760003</v>
      </c>
    </row>
    <row r="644" spans="1:13" ht="22.5" x14ac:dyDescent="0.25">
      <c r="A644" s="5" t="s">
        <v>692</v>
      </c>
      <c r="B644" s="6" t="s">
        <v>715</v>
      </c>
      <c r="C644" s="6" t="s">
        <v>15</v>
      </c>
      <c r="D644" s="6" t="s">
        <v>16</v>
      </c>
      <c r="E644" s="6" t="s">
        <v>3</v>
      </c>
      <c r="F644" s="6" t="s">
        <v>17</v>
      </c>
      <c r="G644" s="5" t="s">
        <v>765</v>
      </c>
      <c r="H644" s="6" t="s">
        <v>22</v>
      </c>
      <c r="I644" s="7">
        <v>83</v>
      </c>
      <c r="J644" s="6" t="s">
        <v>726</v>
      </c>
      <c r="K644" s="61"/>
      <c r="L644" s="12">
        <f>0.0083*60.59*117.5809</f>
        <v>59.131081867300004</v>
      </c>
      <c r="M644" s="12">
        <f t="shared" si="38"/>
        <v>17.739324560189999</v>
      </c>
    </row>
    <row r="645" spans="1:13" x14ac:dyDescent="0.25">
      <c r="A645" s="5"/>
      <c r="B645" s="6"/>
      <c r="C645" s="6"/>
      <c r="D645" s="6"/>
      <c r="E645" s="6"/>
      <c r="F645" s="6"/>
      <c r="G645" s="5"/>
      <c r="H645" s="13" t="s">
        <v>25</v>
      </c>
      <c r="I645" s="7">
        <f>+SUM(I605:I644)</f>
        <v>17002</v>
      </c>
      <c r="J645" s="6"/>
      <c r="K645" s="62"/>
      <c r="L645" s="25">
        <f>SUM(L605:L644)</f>
        <v>47101.592103004012</v>
      </c>
      <c r="M645" s="25">
        <f>SUM(M605:M644)</f>
        <v>14130.477630901198</v>
      </c>
    </row>
    <row r="646" spans="1:13" ht="45" x14ac:dyDescent="0.25">
      <c r="A646" s="5" t="s">
        <v>692</v>
      </c>
      <c r="B646" s="6" t="s">
        <v>715</v>
      </c>
      <c r="C646" s="6" t="s">
        <v>15</v>
      </c>
      <c r="D646" s="6" t="s">
        <v>16</v>
      </c>
      <c r="E646" s="6" t="s">
        <v>3</v>
      </c>
      <c r="F646" s="6" t="s">
        <v>17</v>
      </c>
      <c r="G646" s="5" t="s">
        <v>766</v>
      </c>
      <c r="H646" s="6" t="s">
        <v>385</v>
      </c>
      <c r="I646" s="7">
        <v>445</v>
      </c>
      <c r="J646" s="6" t="s">
        <v>767</v>
      </c>
      <c r="K646" s="24">
        <v>15</v>
      </c>
      <c r="L646" s="22">
        <f>0.0445*11.36*117.5809</f>
        <v>59.439496567999996</v>
      </c>
      <c r="M646" s="22">
        <f t="shared" ref="M646:M651" si="39">L646*0.3</f>
        <v>17.831848970399999</v>
      </c>
    </row>
    <row r="647" spans="1:13" ht="22.5" x14ac:dyDescent="0.25">
      <c r="A647" s="5" t="s">
        <v>692</v>
      </c>
      <c r="B647" s="6" t="s">
        <v>715</v>
      </c>
      <c r="C647" s="6" t="s">
        <v>15</v>
      </c>
      <c r="D647" s="6" t="s">
        <v>16</v>
      </c>
      <c r="E647" s="6" t="s">
        <v>3</v>
      </c>
      <c r="F647" s="6" t="s">
        <v>17</v>
      </c>
      <c r="G647" s="5" t="s">
        <v>768</v>
      </c>
      <c r="H647" s="6" t="s">
        <v>24</v>
      </c>
      <c r="I647" s="7">
        <v>55</v>
      </c>
      <c r="J647" s="6" t="s">
        <v>769</v>
      </c>
      <c r="K647" s="60">
        <v>16</v>
      </c>
      <c r="L647" s="21">
        <f>0.0055*227.21*117.5809</f>
        <v>146.9355595895</v>
      </c>
      <c r="M647" s="21">
        <f t="shared" si="39"/>
        <v>44.080667876850001</v>
      </c>
    </row>
    <row r="648" spans="1:13" ht="22.5" x14ac:dyDescent="0.25">
      <c r="A648" s="5" t="s">
        <v>692</v>
      </c>
      <c r="B648" s="6" t="s">
        <v>715</v>
      </c>
      <c r="C648" s="6" t="s">
        <v>15</v>
      </c>
      <c r="D648" s="6" t="s">
        <v>16</v>
      </c>
      <c r="E648" s="6" t="s">
        <v>3</v>
      </c>
      <c r="F648" s="6" t="s">
        <v>17</v>
      </c>
      <c r="G648" s="5" t="s">
        <v>770</v>
      </c>
      <c r="H648" s="6" t="s">
        <v>24</v>
      </c>
      <c r="I648" s="7">
        <v>636</v>
      </c>
      <c r="J648" s="6" t="s">
        <v>769</v>
      </c>
      <c r="K648" s="61"/>
      <c r="L648" s="20">
        <f>0.0636*227.21*117.5809</f>
        <v>1699.1093799804</v>
      </c>
      <c r="M648" s="20">
        <f t="shared" si="39"/>
        <v>509.73281399411997</v>
      </c>
    </row>
    <row r="649" spans="1:13" ht="22.5" x14ac:dyDescent="0.25">
      <c r="A649" s="5" t="s">
        <v>692</v>
      </c>
      <c r="B649" s="6" t="s">
        <v>715</v>
      </c>
      <c r="C649" s="6" t="s">
        <v>15</v>
      </c>
      <c r="D649" s="6" t="s">
        <v>16</v>
      </c>
      <c r="E649" s="6" t="s">
        <v>3</v>
      </c>
      <c r="F649" s="6" t="s">
        <v>17</v>
      </c>
      <c r="G649" s="5" t="s">
        <v>771</v>
      </c>
      <c r="H649" s="6" t="s">
        <v>24</v>
      </c>
      <c r="I649" s="7">
        <v>175</v>
      </c>
      <c r="J649" s="6" t="s">
        <v>769</v>
      </c>
      <c r="K649" s="61"/>
      <c r="L649" s="21">
        <f>0.0175*227.21*117.5809</f>
        <v>467.52223505750004</v>
      </c>
      <c r="M649" s="21">
        <f t="shared" si="39"/>
        <v>140.25667051725</v>
      </c>
    </row>
    <row r="650" spans="1:13" ht="22.5" x14ac:dyDescent="0.25">
      <c r="A650" s="5" t="s">
        <v>692</v>
      </c>
      <c r="B650" s="6" t="s">
        <v>715</v>
      </c>
      <c r="C650" s="6" t="s">
        <v>15</v>
      </c>
      <c r="D650" s="6" t="s">
        <v>16</v>
      </c>
      <c r="E650" s="6" t="s">
        <v>3</v>
      </c>
      <c r="F650" s="6" t="s">
        <v>17</v>
      </c>
      <c r="G650" s="5" t="s">
        <v>772</v>
      </c>
      <c r="H650" s="6" t="s">
        <v>24</v>
      </c>
      <c r="I650" s="7">
        <v>436</v>
      </c>
      <c r="J650" s="6" t="s">
        <v>773</v>
      </c>
      <c r="K650" s="61"/>
      <c r="L650" s="20">
        <f>0.0436*227.21*117.5809</f>
        <v>1164.7982542004002</v>
      </c>
      <c r="M650" s="20">
        <f t="shared" si="39"/>
        <v>349.43947626012005</v>
      </c>
    </row>
    <row r="651" spans="1:13" ht="22.5" x14ac:dyDescent="0.25">
      <c r="A651" s="5" t="s">
        <v>692</v>
      </c>
      <c r="B651" s="6" t="s">
        <v>715</v>
      </c>
      <c r="C651" s="6" t="s">
        <v>15</v>
      </c>
      <c r="D651" s="6" t="s">
        <v>16</v>
      </c>
      <c r="E651" s="6" t="s">
        <v>3</v>
      </c>
      <c r="F651" s="6" t="s">
        <v>17</v>
      </c>
      <c r="G651" s="5" t="s">
        <v>774</v>
      </c>
      <c r="H651" s="6" t="s">
        <v>24</v>
      </c>
      <c r="I651" s="7">
        <v>175</v>
      </c>
      <c r="J651" s="6" t="s">
        <v>769</v>
      </c>
      <c r="K651" s="61"/>
      <c r="L651" s="21">
        <f>0.0175*227.21*117.5809</f>
        <v>467.52223505750004</v>
      </c>
      <c r="M651" s="21">
        <f t="shared" si="39"/>
        <v>140.25667051725</v>
      </c>
    </row>
    <row r="652" spans="1:13" x14ac:dyDescent="0.25">
      <c r="A652" s="5"/>
      <c r="B652" s="6"/>
      <c r="C652" s="6"/>
      <c r="D652" s="6"/>
      <c r="E652" s="6"/>
      <c r="F652" s="6"/>
      <c r="G652" s="5"/>
      <c r="H652" s="13" t="s">
        <v>25</v>
      </c>
      <c r="I652" s="7">
        <f>+SUM(I647:I651)</f>
        <v>1477</v>
      </c>
      <c r="J652" s="6"/>
      <c r="K652" s="62"/>
      <c r="L652" s="38">
        <f>+SUM(L647:L651)</f>
        <v>3945.8876638853003</v>
      </c>
      <c r="M652" s="38">
        <f>SUM(M647:M651)</f>
        <v>1183.76629916559</v>
      </c>
    </row>
    <row r="653" spans="1:13" ht="45" x14ac:dyDescent="0.25">
      <c r="A653" s="27" t="s">
        <v>692</v>
      </c>
      <c r="B653" s="28" t="s">
        <v>715</v>
      </c>
      <c r="C653" s="28" t="s">
        <v>15</v>
      </c>
      <c r="D653" s="28" t="s">
        <v>16</v>
      </c>
      <c r="E653" s="28" t="s">
        <v>3</v>
      </c>
      <c r="F653" s="28" t="s">
        <v>17</v>
      </c>
      <c r="G653" s="27" t="s">
        <v>775</v>
      </c>
      <c r="H653" s="28" t="s">
        <v>59</v>
      </c>
      <c r="I653" s="29">
        <v>305</v>
      </c>
      <c r="J653" s="28" t="s">
        <v>776</v>
      </c>
      <c r="K653" s="60">
        <v>17</v>
      </c>
      <c r="L653" s="50">
        <f>0.0305*45.44*117.5809</f>
        <v>162.95772092799999</v>
      </c>
      <c r="M653" s="50">
        <f t="shared" ref="M653:M674" si="40">L653*0.3</f>
        <v>48.887316278399993</v>
      </c>
    </row>
    <row r="654" spans="1:13" ht="22.5" x14ac:dyDescent="0.25">
      <c r="A654" s="5" t="s">
        <v>692</v>
      </c>
      <c r="B654" s="6" t="s">
        <v>715</v>
      </c>
      <c r="C654" s="6" t="s">
        <v>15</v>
      </c>
      <c r="D654" s="6" t="s">
        <v>16</v>
      </c>
      <c r="E654" s="6" t="s">
        <v>3</v>
      </c>
      <c r="F654" s="6" t="s">
        <v>17</v>
      </c>
      <c r="G654" s="5" t="s">
        <v>777</v>
      </c>
      <c r="H654" s="6" t="s">
        <v>59</v>
      </c>
      <c r="I654" s="7">
        <v>799</v>
      </c>
      <c r="J654" s="6" t="s">
        <v>769</v>
      </c>
      <c r="K654" s="61"/>
      <c r="L654" s="20">
        <f>0.0799*45.44*117.5809</f>
        <v>426.89580007039996</v>
      </c>
      <c r="M654" s="20">
        <f t="shared" si="40"/>
        <v>128.06874002111999</v>
      </c>
    </row>
    <row r="655" spans="1:13" ht="22.5" x14ac:dyDescent="0.25">
      <c r="A655" s="5" t="s">
        <v>692</v>
      </c>
      <c r="B655" s="6" t="s">
        <v>715</v>
      </c>
      <c r="C655" s="6" t="s">
        <v>15</v>
      </c>
      <c r="D655" s="6" t="s">
        <v>16</v>
      </c>
      <c r="E655" s="6" t="s">
        <v>3</v>
      </c>
      <c r="F655" s="6" t="s">
        <v>17</v>
      </c>
      <c r="G655" s="5" t="s">
        <v>778</v>
      </c>
      <c r="H655" s="6" t="s">
        <v>59</v>
      </c>
      <c r="I655" s="7">
        <v>392</v>
      </c>
      <c r="J655" s="6" t="s">
        <v>769</v>
      </c>
      <c r="K655" s="61"/>
      <c r="L655" s="21">
        <f>0.0392*45.44*117.5809</f>
        <v>209.44074296319999</v>
      </c>
      <c r="M655" s="21">
        <f t="shared" si="40"/>
        <v>62.832222888959997</v>
      </c>
    </row>
    <row r="656" spans="1:13" ht="45" x14ac:dyDescent="0.25">
      <c r="A656" s="5" t="s">
        <v>692</v>
      </c>
      <c r="B656" s="6" t="s">
        <v>715</v>
      </c>
      <c r="C656" s="6" t="s">
        <v>15</v>
      </c>
      <c r="D656" s="6" t="s">
        <v>16</v>
      </c>
      <c r="E656" s="6" t="s">
        <v>3</v>
      </c>
      <c r="F656" s="6" t="s">
        <v>17</v>
      </c>
      <c r="G656" s="5" t="s">
        <v>779</v>
      </c>
      <c r="H656" s="6" t="s">
        <v>59</v>
      </c>
      <c r="I656" s="7">
        <v>856</v>
      </c>
      <c r="J656" s="6" t="s">
        <v>776</v>
      </c>
      <c r="K656" s="61"/>
      <c r="L656" s="20">
        <f>0.0856*45.44*117.5809</f>
        <v>457.35019381759997</v>
      </c>
      <c r="M656" s="20">
        <f t="shared" si="40"/>
        <v>137.20505814527999</v>
      </c>
    </row>
    <row r="657" spans="1:13" ht="22.5" x14ac:dyDescent="0.25">
      <c r="A657" s="5" t="s">
        <v>692</v>
      </c>
      <c r="B657" s="6" t="s">
        <v>715</v>
      </c>
      <c r="C657" s="6" t="s">
        <v>15</v>
      </c>
      <c r="D657" s="6" t="s">
        <v>16</v>
      </c>
      <c r="E657" s="6" t="s">
        <v>3</v>
      </c>
      <c r="F657" s="6" t="s">
        <v>17</v>
      </c>
      <c r="G657" s="5" t="s">
        <v>780</v>
      </c>
      <c r="H657" s="6" t="s">
        <v>59</v>
      </c>
      <c r="I657" s="7">
        <v>49</v>
      </c>
      <c r="J657" s="6" t="s">
        <v>769</v>
      </c>
      <c r="K657" s="61"/>
      <c r="L657" s="21">
        <f>0.0049*45.44*117.5809</f>
        <v>26.180092870399999</v>
      </c>
      <c r="M657" s="21">
        <f t="shared" si="40"/>
        <v>7.8540278611199996</v>
      </c>
    </row>
    <row r="658" spans="1:13" ht="45" x14ac:dyDescent="0.25">
      <c r="A658" s="5" t="s">
        <v>692</v>
      </c>
      <c r="B658" s="6" t="s">
        <v>715</v>
      </c>
      <c r="C658" s="6" t="s">
        <v>15</v>
      </c>
      <c r="D658" s="6" t="s">
        <v>16</v>
      </c>
      <c r="E658" s="6" t="s">
        <v>3</v>
      </c>
      <c r="F658" s="6" t="s">
        <v>17</v>
      </c>
      <c r="G658" s="5" t="s">
        <v>781</v>
      </c>
      <c r="H658" s="6" t="s">
        <v>59</v>
      </c>
      <c r="I658" s="7">
        <v>805</v>
      </c>
      <c r="J658" s="6" t="s">
        <v>776</v>
      </c>
      <c r="K658" s="61"/>
      <c r="L658" s="20">
        <f>0.0805*45.44*117.5809</f>
        <v>430.10152572799996</v>
      </c>
      <c r="M658" s="20">
        <f t="shared" si="40"/>
        <v>129.03045771839999</v>
      </c>
    </row>
    <row r="659" spans="1:13" ht="22.5" x14ac:dyDescent="0.25">
      <c r="A659" s="5" t="s">
        <v>692</v>
      </c>
      <c r="B659" s="6" t="s">
        <v>715</v>
      </c>
      <c r="C659" s="6" t="s">
        <v>15</v>
      </c>
      <c r="D659" s="6" t="s">
        <v>16</v>
      </c>
      <c r="E659" s="6" t="s">
        <v>3</v>
      </c>
      <c r="F659" s="6" t="s">
        <v>17</v>
      </c>
      <c r="G659" s="5" t="s">
        <v>782</v>
      </c>
      <c r="H659" s="6" t="s">
        <v>59</v>
      </c>
      <c r="I659" s="7">
        <v>3</v>
      </c>
      <c r="J659" s="6" t="s">
        <v>769</v>
      </c>
      <c r="K659" s="61"/>
      <c r="L659" s="21">
        <f>0.0003*45.44*117.5809</f>
        <v>1.6028628287999998</v>
      </c>
      <c r="M659" s="21">
        <f t="shared" si="40"/>
        <v>0.48085884863999989</v>
      </c>
    </row>
    <row r="660" spans="1:13" ht="22.5" x14ac:dyDescent="0.25">
      <c r="A660" s="5" t="s">
        <v>692</v>
      </c>
      <c r="B660" s="6" t="s">
        <v>715</v>
      </c>
      <c r="C660" s="6" t="s">
        <v>15</v>
      </c>
      <c r="D660" s="6" t="s">
        <v>16</v>
      </c>
      <c r="E660" s="6" t="s">
        <v>3</v>
      </c>
      <c r="F660" s="6" t="s">
        <v>17</v>
      </c>
      <c r="G660" s="5" t="s">
        <v>783</v>
      </c>
      <c r="H660" s="6" t="s">
        <v>59</v>
      </c>
      <c r="I660" s="7">
        <v>880</v>
      </c>
      <c r="J660" s="6" t="s">
        <v>769</v>
      </c>
      <c r="K660" s="61"/>
      <c r="L660" s="21">
        <f>0.088*45.44*117.5809</f>
        <v>470.17309644799997</v>
      </c>
      <c r="M660" s="21">
        <f t="shared" si="40"/>
        <v>141.0519289344</v>
      </c>
    </row>
    <row r="661" spans="1:13" ht="22.5" x14ac:dyDescent="0.25">
      <c r="A661" s="5" t="s">
        <v>692</v>
      </c>
      <c r="B661" s="6" t="s">
        <v>715</v>
      </c>
      <c r="C661" s="6" t="s">
        <v>15</v>
      </c>
      <c r="D661" s="6" t="s">
        <v>16</v>
      </c>
      <c r="E661" s="6" t="s">
        <v>3</v>
      </c>
      <c r="F661" s="6" t="s">
        <v>17</v>
      </c>
      <c r="G661" s="5" t="s">
        <v>784</v>
      </c>
      <c r="H661" s="6" t="s">
        <v>59</v>
      </c>
      <c r="I661" s="7">
        <v>84</v>
      </c>
      <c r="J661" s="6" t="s">
        <v>769</v>
      </c>
      <c r="K661" s="61"/>
      <c r="L661" s="21">
        <f>0.0084*45.44*117.5809</f>
        <v>44.880159206399995</v>
      </c>
      <c r="M661" s="21">
        <f t="shared" si="40"/>
        <v>13.464047761919998</v>
      </c>
    </row>
    <row r="662" spans="1:13" ht="22.5" x14ac:dyDescent="0.25">
      <c r="A662" s="5" t="s">
        <v>692</v>
      </c>
      <c r="B662" s="6" t="s">
        <v>715</v>
      </c>
      <c r="C662" s="6" t="s">
        <v>15</v>
      </c>
      <c r="D662" s="6" t="s">
        <v>16</v>
      </c>
      <c r="E662" s="6" t="s">
        <v>3</v>
      </c>
      <c r="F662" s="6" t="s">
        <v>17</v>
      </c>
      <c r="G662" s="5" t="s">
        <v>785</v>
      </c>
      <c r="H662" s="6" t="s">
        <v>59</v>
      </c>
      <c r="I662" s="7">
        <v>350</v>
      </c>
      <c r="J662" s="6" t="s">
        <v>769</v>
      </c>
      <c r="K662" s="61"/>
      <c r="L662" s="20">
        <f>0.035*45.44*117.5809</f>
        <v>187.00066336</v>
      </c>
      <c r="M662" s="20">
        <f t="shared" si="40"/>
        <v>56.100199007999997</v>
      </c>
    </row>
    <row r="663" spans="1:13" ht="22.5" x14ac:dyDescent="0.25">
      <c r="A663" s="5" t="s">
        <v>692</v>
      </c>
      <c r="B663" s="6" t="s">
        <v>715</v>
      </c>
      <c r="C663" s="6" t="s">
        <v>15</v>
      </c>
      <c r="D663" s="6" t="s">
        <v>16</v>
      </c>
      <c r="E663" s="6" t="s">
        <v>3</v>
      </c>
      <c r="F663" s="6" t="s">
        <v>17</v>
      </c>
      <c r="G663" s="5" t="s">
        <v>786</v>
      </c>
      <c r="H663" s="6" t="s">
        <v>59</v>
      </c>
      <c r="I663" s="7">
        <v>663</v>
      </c>
      <c r="J663" s="6" t="s">
        <v>769</v>
      </c>
      <c r="K663" s="61"/>
      <c r="L663" s="21">
        <f>0.0663*45.44*117.5809</f>
        <v>354.23268516479999</v>
      </c>
      <c r="M663" s="21">
        <f t="shared" si="40"/>
        <v>106.26980554943999</v>
      </c>
    </row>
    <row r="664" spans="1:13" ht="45" x14ac:dyDescent="0.25">
      <c r="A664" s="5" t="s">
        <v>692</v>
      </c>
      <c r="B664" s="6" t="s">
        <v>715</v>
      </c>
      <c r="C664" s="6" t="s">
        <v>15</v>
      </c>
      <c r="D664" s="6" t="s">
        <v>16</v>
      </c>
      <c r="E664" s="6" t="s">
        <v>3</v>
      </c>
      <c r="F664" s="6" t="s">
        <v>17</v>
      </c>
      <c r="G664" s="5" t="s">
        <v>787</v>
      </c>
      <c r="H664" s="6" t="s">
        <v>59</v>
      </c>
      <c r="I664" s="7">
        <v>569</v>
      </c>
      <c r="J664" s="6" t="s">
        <v>776</v>
      </c>
      <c r="K664" s="61"/>
      <c r="L664" s="20">
        <f>0.0569*45.44*117.5809</f>
        <v>304.00964986239995</v>
      </c>
      <c r="M664" s="20">
        <f t="shared" si="40"/>
        <v>91.20289495871998</v>
      </c>
    </row>
    <row r="665" spans="1:13" ht="45" x14ac:dyDescent="0.25">
      <c r="A665" s="5" t="s">
        <v>692</v>
      </c>
      <c r="B665" s="6" t="s">
        <v>715</v>
      </c>
      <c r="C665" s="6" t="s">
        <v>15</v>
      </c>
      <c r="D665" s="6" t="s">
        <v>16</v>
      </c>
      <c r="E665" s="6" t="s">
        <v>3</v>
      </c>
      <c r="F665" s="6" t="s">
        <v>17</v>
      </c>
      <c r="G665" s="5" t="s">
        <v>788</v>
      </c>
      <c r="H665" s="6" t="s">
        <v>59</v>
      </c>
      <c r="I665" s="7">
        <v>390</v>
      </c>
      <c r="J665" s="6" t="s">
        <v>776</v>
      </c>
      <c r="K665" s="61"/>
      <c r="L665" s="21">
        <f>0.039*45.44*117.5809</f>
        <v>208.372167744</v>
      </c>
      <c r="M665" s="21">
        <f t="shared" si="40"/>
        <v>62.511650323199994</v>
      </c>
    </row>
    <row r="666" spans="1:13" ht="45" x14ac:dyDescent="0.25">
      <c r="A666" s="5" t="s">
        <v>692</v>
      </c>
      <c r="B666" s="6" t="s">
        <v>715</v>
      </c>
      <c r="C666" s="6" t="s">
        <v>15</v>
      </c>
      <c r="D666" s="6" t="s">
        <v>16</v>
      </c>
      <c r="E666" s="6" t="s">
        <v>3</v>
      </c>
      <c r="F666" s="6" t="s">
        <v>17</v>
      </c>
      <c r="G666" s="5" t="s">
        <v>789</v>
      </c>
      <c r="H666" s="6" t="s">
        <v>59</v>
      </c>
      <c r="I666" s="7">
        <v>206</v>
      </c>
      <c r="J666" s="6" t="s">
        <v>776</v>
      </c>
      <c r="K666" s="61"/>
      <c r="L666" s="20">
        <f>0.0206*45.44*117.5809</f>
        <v>110.06324757759999</v>
      </c>
      <c r="M666" s="20">
        <f t="shared" si="40"/>
        <v>33.018974273279994</v>
      </c>
    </row>
    <row r="667" spans="1:13" ht="45" x14ac:dyDescent="0.25">
      <c r="A667" s="5" t="s">
        <v>692</v>
      </c>
      <c r="B667" s="6" t="s">
        <v>715</v>
      </c>
      <c r="C667" s="6" t="s">
        <v>15</v>
      </c>
      <c r="D667" s="6" t="s">
        <v>16</v>
      </c>
      <c r="E667" s="6" t="s">
        <v>3</v>
      </c>
      <c r="F667" s="6" t="s">
        <v>17</v>
      </c>
      <c r="G667" s="5" t="s">
        <v>790</v>
      </c>
      <c r="H667" s="6" t="s">
        <v>59</v>
      </c>
      <c r="I667" s="7">
        <v>333</v>
      </c>
      <c r="J667" s="6" t="s">
        <v>776</v>
      </c>
      <c r="K667" s="61"/>
      <c r="L667" s="21">
        <f>0.0333*45.44*117.5809</f>
        <v>177.91777399680001</v>
      </c>
      <c r="M667" s="21">
        <f t="shared" si="40"/>
        <v>53.375332199040002</v>
      </c>
    </row>
    <row r="668" spans="1:13" ht="22.5" x14ac:dyDescent="0.25">
      <c r="A668" s="5" t="s">
        <v>692</v>
      </c>
      <c r="B668" s="6" t="s">
        <v>715</v>
      </c>
      <c r="C668" s="6" t="s">
        <v>15</v>
      </c>
      <c r="D668" s="6" t="s">
        <v>16</v>
      </c>
      <c r="E668" s="6" t="s">
        <v>3</v>
      </c>
      <c r="F668" s="6" t="s">
        <v>17</v>
      </c>
      <c r="G668" s="5" t="s">
        <v>791</v>
      </c>
      <c r="H668" s="6" t="s">
        <v>59</v>
      </c>
      <c r="I668" s="7">
        <v>197</v>
      </c>
      <c r="J668" s="6" t="s">
        <v>769</v>
      </c>
      <c r="K668" s="61"/>
      <c r="L668" s="20">
        <f>0.0197*45.44*117.5809</f>
        <v>105.25465909119998</v>
      </c>
      <c r="M668" s="20">
        <f t="shared" si="40"/>
        <v>31.576397727359993</v>
      </c>
    </row>
    <row r="669" spans="1:13" ht="45" x14ac:dyDescent="0.25">
      <c r="A669" s="5" t="s">
        <v>692</v>
      </c>
      <c r="B669" s="6" t="s">
        <v>715</v>
      </c>
      <c r="C669" s="6" t="s">
        <v>15</v>
      </c>
      <c r="D669" s="6" t="s">
        <v>16</v>
      </c>
      <c r="E669" s="6" t="s">
        <v>3</v>
      </c>
      <c r="F669" s="6" t="s">
        <v>17</v>
      </c>
      <c r="G669" s="5" t="s">
        <v>792</v>
      </c>
      <c r="H669" s="6" t="s">
        <v>59</v>
      </c>
      <c r="I669" s="7">
        <v>884</v>
      </c>
      <c r="J669" s="6" t="s">
        <v>776</v>
      </c>
      <c r="K669" s="61"/>
      <c r="L669" s="21">
        <f>0.0884*45.44*117.5809</f>
        <v>472.31024688640002</v>
      </c>
      <c r="M669" s="21">
        <f t="shared" si="40"/>
        <v>141.69307406592</v>
      </c>
    </row>
    <row r="670" spans="1:13" ht="45" x14ac:dyDescent="0.25">
      <c r="A670" s="5" t="s">
        <v>692</v>
      </c>
      <c r="B670" s="6" t="s">
        <v>715</v>
      </c>
      <c r="C670" s="6" t="s">
        <v>15</v>
      </c>
      <c r="D670" s="6" t="s">
        <v>16</v>
      </c>
      <c r="E670" s="6" t="s">
        <v>3</v>
      </c>
      <c r="F670" s="6" t="s">
        <v>17</v>
      </c>
      <c r="G670" s="5" t="s">
        <v>793</v>
      </c>
      <c r="H670" s="6" t="s">
        <v>59</v>
      </c>
      <c r="I670" s="7">
        <v>198</v>
      </c>
      <c r="J670" s="6" t="s">
        <v>776</v>
      </c>
      <c r="K670" s="61"/>
      <c r="L670" s="20">
        <f>0.0198*45.44*117.5809</f>
        <v>105.78894670080001</v>
      </c>
      <c r="M670" s="20">
        <f t="shared" si="40"/>
        <v>31.736684010240001</v>
      </c>
    </row>
    <row r="671" spans="1:13" ht="45" x14ac:dyDescent="0.25">
      <c r="A671" s="5" t="s">
        <v>692</v>
      </c>
      <c r="B671" s="6" t="s">
        <v>715</v>
      </c>
      <c r="C671" s="6" t="s">
        <v>15</v>
      </c>
      <c r="D671" s="6" t="s">
        <v>16</v>
      </c>
      <c r="E671" s="6" t="s">
        <v>3</v>
      </c>
      <c r="F671" s="6" t="s">
        <v>17</v>
      </c>
      <c r="G671" s="5" t="s">
        <v>794</v>
      </c>
      <c r="H671" s="6" t="s">
        <v>59</v>
      </c>
      <c r="I671" s="7">
        <v>2399</v>
      </c>
      <c r="J671" s="6" t="s">
        <v>776</v>
      </c>
      <c r="K671" s="61"/>
      <c r="L671" s="21">
        <f>0.2399*45.44*117.5809</f>
        <v>1281.7559754303998</v>
      </c>
      <c r="M671" s="21">
        <f t="shared" si="40"/>
        <v>384.52679262911994</v>
      </c>
    </row>
    <row r="672" spans="1:13" ht="45" x14ac:dyDescent="0.25">
      <c r="A672" s="5" t="s">
        <v>692</v>
      </c>
      <c r="B672" s="6" t="s">
        <v>715</v>
      </c>
      <c r="C672" s="6" t="s">
        <v>15</v>
      </c>
      <c r="D672" s="6" t="s">
        <v>16</v>
      </c>
      <c r="E672" s="6" t="s">
        <v>3</v>
      </c>
      <c r="F672" s="6" t="s">
        <v>17</v>
      </c>
      <c r="G672" s="5" t="s">
        <v>795</v>
      </c>
      <c r="H672" s="6" t="s">
        <v>59</v>
      </c>
      <c r="I672" s="7">
        <v>82</v>
      </c>
      <c r="J672" s="6" t="s">
        <v>776</v>
      </c>
      <c r="K672" s="61"/>
      <c r="L672" s="20">
        <f>0.0082*45.44*117.5809</f>
        <v>43.811583987200002</v>
      </c>
      <c r="M672" s="20">
        <f t="shared" si="40"/>
        <v>13.143475196160001</v>
      </c>
    </row>
    <row r="673" spans="1:13" ht="22.5" x14ac:dyDescent="0.25">
      <c r="A673" s="5" t="s">
        <v>692</v>
      </c>
      <c r="B673" s="6" t="s">
        <v>715</v>
      </c>
      <c r="C673" s="6" t="s">
        <v>15</v>
      </c>
      <c r="D673" s="6" t="s">
        <v>16</v>
      </c>
      <c r="E673" s="6" t="s">
        <v>3</v>
      </c>
      <c r="F673" s="6" t="s">
        <v>17</v>
      </c>
      <c r="G673" s="5" t="s">
        <v>796</v>
      </c>
      <c r="H673" s="6" t="s">
        <v>59</v>
      </c>
      <c r="I673" s="7">
        <v>1616</v>
      </c>
      <c r="J673" s="6" t="s">
        <v>773</v>
      </c>
      <c r="K673" s="61"/>
      <c r="L673" s="21">
        <f>0.1616*45.44*117.5809</f>
        <v>863.40877711359997</v>
      </c>
      <c r="M673" s="21">
        <f t="shared" si="40"/>
        <v>259.02263313407997</v>
      </c>
    </row>
    <row r="674" spans="1:13" ht="45" x14ac:dyDescent="0.25">
      <c r="A674" s="5" t="s">
        <v>692</v>
      </c>
      <c r="B674" s="6" t="s">
        <v>715</v>
      </c>
      <c r="C674" s="6" t="s">
        <v>15</v>
      </c>
      <c r="D674" s="6" t="s">
        <v>16</v>
      </c>
      <c r="E674" s="6" t="s">
        <v>3</v>
      </c>
      <c r="F674" s="6" t="s">
        <v>17</v>
      </c>
      <c r="G674" s="5" t="s">
        <v>797</v>
      </c>
      <c r="H674" s="6" t="s">
        <v>59</v>
      </c>
      <c r="I674" s="7">
        <v>545</v>
      </c>
      <c r="J674" s="6" t="s">
        <v>776</v>
      </c>
      <c r="K674" s="61"/>
      <c r="L674" s="20">
        <f>0.0545*45.44*117.5809</f>
        <v>291.18674723200002</v>
      </c>
      <c r="M674" s="20">
        <f t="shared" si="40"/>
        <v>87.356024169600005</v>
      </c>
    </row>
    <row r="675" spans="1:13" x14ac:dyDescent="0.25">
      <c r="A675" s="5"/>
      <c r="B675" s="6"/>
      <c r="C675" s="6"/>
      <c r="D675" s="6"/>
      <c r="E675" s="6"/>
      <c r="F675" s="6"/>
      <c r="G675" s="5"/>
      <c r="H675" s="13" t="s">
        <v>25</v>
      </c>
      <c r="I675" s="7">
        <f>+SUM(I653:I674)</f>
        <v>12605</v>
      </c>
      <c r="J675" s="6"/>
      <c r="K675" s="62"/>
      <c r="L675" s="38">
        <f>SUM(L653:L674)</f>
        <v>6734.6953190079985</v>
      </c>
      <c r="M675" s="38">
        <f>SUM(M653:M674)</f>
        <v>2020.4085957023997</v>
      </c>
    </row>
    <row r="676" spans="1:13" ht="22.5" x14ac:dyDescent="0.25">
      <c r="A676" s="5" t="s">
        <v>692</v>
      </c>
      <c r="B676" s="6">
        <v>3335</v>
      </c>
      <c r="C676" s="54" t="s">
        <v>15</v>
      </c>
      <c r="D676" s="6" t="s">
        <v>16</v>
      </c>
      <c r="E676" s="6" t="s">
        <v>3</v>
      </c>
      <c r="F676" s="6" t="s">
        <v>17</v>
      </c>
      <c r="G676" s="5">
        <v>6368</v>
      </c>
      <c r="H676" s="6" t="s">
        <v>179</v>
      </c>
      <c r="I676" s="7">
        <v>3393</v>
      </c>
      <c r="J676" s="6" t="s">
        <v>798</v>
      </c>
      <c r="K676" s="60">
        <v>18</v>
      </c>
      <c r="L676" s="55">
        <f>0.3393*280.51*117.5809</f>
        <v>11191.0023752787</v>
      </c>
      <c r="M676" s="55">
        <f>L676*0.3</f>
        <v>3357.3007125836098</v>
      </c>
    </row>
    <row r="677" spans="1:13" ht="22.5" x14ac:dyDescent="0.25">
      <c r="A677" s="5" t="s">
        <v>692</v>
      </c>
      <c r="B677" s="6">
        <v>3335</v>
      </c>
      <c r="C677" s="54" t="s">
        <v>15</v>
      </c>
      <c r="D677" s="6" t="s">
        <v>16</v>
      </c>
      <c r="E677" s="6" t="s">
        <v>3</v>
      </c>
      <c r="F677" s="6" t="s">
        <v>17</v>
      </c>
      <c r="G677" s="5">
        <v>6369</v>
      </c>
      <c r="H677" s="6" t="s">
        <v>179</v>
      </c>
      <c r="I677" s="7">
        <v>132</v>
      </c>
      <c r="J677" s="6" t="s">
        <v>798</v>
      </c>
      <c r="K677" s="61"/>
      <c r="L677" s="55">
        <f>0.0132*280.51*117.5809</f>
        <v>435.37056101879995</v>
      </c>
      <c r="M677" s="55">
        <f>L677*0.3</f>
        <v>130.61116830563998</v>
      </c>
    </row>
    <row r="678" spans="1:13" x14ac:dyDescent="0.25">
      <c r="A678" s="5"/>
      <c r="B678" s="6"/>
      <c r="C678" s="6"/>
      <c r="D678" s="6"/>
      <c r="E678" s="6"/>
      <c r="F678" s="6"/>
      <c r="G678" s="5"/>
      <c r="H678" s="13"/>
      <c r="I678" s="7">
        <f>+SUM(I676:I677)</f>
        <v>3525</v>
      </c>
      <c r="J678" s="6"/>
      <c r="K678" s="62"/>
      <c r="L678" s="37">
        <f>SUM(L676:L677)</f>
        <v>11626.372936297501</v>
      </c>
      <c r="M678" s="37">
        <f>SUM(M676:M677)</f>
        <v>3487.9118808892499</v>
      </c>
    </row>
    <row r="679" spans="1:13" ht="33.75" x14ac:dyDescent="0.25">
      <c r="A679" s="5" t="s">
        <v>692</v>
      </c>
      <c r="B679" s="6" t="s">
        <v>715</v>
      </c>
      <c r="C679" s="6" t="s">
        <v>15</v>
      </c>
      <c r="D679" s="6" t="s">
        <v>16</v>
      </c>
      <c r="E679" s="6" t="s">
        <v>3</v>
      </c>
      <c r="F679" s="6" t="s">
        <v>17</v>
      </c>
      <c r="G679" s="5" t="s">
        <v>799</v>
      </c>
      <c r="H679" s="6" t="s">
        <v>179</v>
      </c>
      <c r="I679" s="7">
        <v>790</v>
      </c>
      <c r="J679" s="6" t="s">
        <v>800</v>
      </c>
      <c r="K679" s="24">
        <v>19</v>
      </c>
      <c r="L679" s="22">
        <f>0.079*280.51*117.5809</f>
        <v>2605.6268424609998</v>
      </c>
      <c r="M679" s="22">
        <f t="shared" ref="M679:M692" si="41">L679*0.3</f>
        <v>781.68805273829992</v>
      </c>
    </row>
    <row r="680" spans="1:13" ht="33.75" x14ac:dyDescent="0.25">
      <c r="A680" s="5" t="s">
        <v>692</v>
      </c>
      <c r="B680" s="6" t="s">
        <v>715</v>
      </c>
      <c r="C680" s="6" t="s">
        <v>15</v>
      </c>
      <c r="D680" s="6" t="s">
        <v>16</v>
      </c>
      <c r="E680" s="6" t="s">
        <v>3</v>
      </c>
      <c r="F680" s="6" t="s">
        <v>17</v>
      </c>
      <c r="G680" s="5" t="s">
        <v>801</v>
      </c>
      <c r="H680" s="6" t="s">
        <v>179</v>
      </c>
      <c r="I680" s="7">
        <v>469</v>
      </c>
      <c r="J680" s="6" t="s">
        <v>802</v>
      </c>
      <c r="K680" s="24">
        <v>20</v>
      </c>
      <c r="L680" s="19">
        <f>0.0469*280.51*117.5809</f>
        <v>1546.8847963470998</v>
      </c>
      <c r="M680" s="19">
        <f t="shared" si="41"/>
        <v>464.06543890412991</v>
      </c>
    </row>
    <row r="681" spans="1:13" ht="22.5" x14ac:dyDescent="0.25">
      <c r="A681" s="5" t="s">
        <v>692</v>
      </c>
      <c r="B681" s="6" t="s">
        <v>715</v>
      </c>
      <c r="C681" s="6" t="s">
        <v>15</v>
      </c>
      <c r="D681" s="6" t="s">
        <v>16</v>
      </c>
      <c r="E681" s="6" t="s">
        <v>3</v>
      </c>
      <c r="F681" s="6" t="s">
        <v>17</v>
      </c>
      <c r="G681" s="5" t="s">
        <v>803</v>
      </c>
      <c r="H681" s="6" t="s">
        <v>179</v>
      </c>
      <c r="I681" s="7">
        <v>3083</v>
      </c>
      <c r="J681" s="6" t="s">
        <v>719</v>
      </c>
      <c r="K681" s="60">
        <v>21</v>
      </c>
      <c r="L681" s="20">
        <f>0.3083*280.51*117.5809</f>
        <v>10168.541209249701</v>
      </c>
      <c r="M681" s="20">
        <f t="shared" si="41"/>
        <v>3050.5623627749101</v>
      </c>
    </row>
    <row r="682" spans="1:13" ht="22.5" x14ac:dyDescent="0.25">
      <c r="A682" s="5" t="s">
        <v>692</v>
      </c>
      <c r="B682" s="6" t="s">
        <v>715</v>
      </c>
      <c r="C682" s="6" t="s">
        <v>15</v>
      </c>
      <c r="D682" s="6" t="s">
        <v>16</v>
      </c>
      <c r="E682" s="6" t="s">
        <v>3</v>
      </c>
      <c r="F682" s="6" t="s">
        <v>17</v>
      </c>
      <c r="G682" s="5" t="s">
        <v>804</v>
      </c>
      <c r="H682" s="6" t="s">
        <v>179</v>
      </c>
      <c r="I682" s="7">
        <v>242</v>
      </c>
      <c r="J682" s="6" t="s">
        <v>719</v>
      </c>
      <c r="K682" s="61"/>
      <c r="L682" s="21">
        <f>0.0242*280.51*117.5809</f>
        <v>798.17936186779991</v>
      </c>
      <c r="M682" s="21">
        <f t="shared" si="41"/>
        <v>239.45380856033995</v>
      </c>
    </row>
    <row r="683" spans="1:13" ht="22.5" x14ac:dyDescent="0.25">
      <c r="A683" s="5" t="s">
        <v>692</v>
      </c>
      <c r="B683" s="6" t="s">
        <v>715</v>
      </c>
      <c r="C683" s="6" t="s">
        <v>15</v>
      </c>
      <c r="D683" s="6" t="s">
        <v>16</v>
      </c>
      <c r="E683" s="6" t="s">
        <v>3</v>
      </c>
      <c r="F683" s="6" t="s">
        <v>17</v>
      </c>
      <c r="G683" s="5" t="s">
        <v>805</v>
      </c>
      <c r="H683" s="6" t="s">
        <v>179</v>
      </c>
      <c r="I683" s="7">
        <v>1625</v>
      </c>
      <c r="J683" s="6" t="s">
        <v>719</v>
      </c>
      <c r="K683" s="61"/>
      <c r="L683" s="20">
        <f>0.1625*280.51*117.5809</f>
        <v>5359.6754670874998</v>
      </c>
      <c r="M683" s="20">
        <f t="shared" si="41"/>
        <v>1607.9026401262499</v>
      </c>
    </row>
    <row r="684" spans="1:13" ht="22.5" x14ac:dyDescent="0.25">
      <c r="A684" s="5" t="s">
        <v>692</v>
      </c>
      <c r="B684" s="6" t="s">
        <v>715</v>
      </c>
      <c r="C684" s="6" t="s">
        <v>15</v>
      </c>
      <c r="D684" s="6" t="s">
        <v>16</v>
      </c>
      <c r="E684" s="6" t="s">
        <v>3</v>
      </c>
      <c r="F684" s="6" t="s">
        <v>17</v>
      </c>
      <c r="G684" s="5" t="s">
        <v>806</v>
      </c>
      <c r="H684" s="6" t="s">
        <v>179</v>
      </c>
      <c r="I684" s="7">
        <v>1530</v>
      </c>
      <c r="J684" s="6" t="s">
        <v>719</v>
      </c>
      <c r="K684" s="61"/>
      <c r="L684" s="21">
        <f>0.153*280.51*117.5809</f>
        <v>5046.3405936269992</v>
      </c>
      <c r="M684" s="21">
        <f t="shared" si="41"/>
        <v>1513.9021780880996</v>
      </c>
    </row>
    <row r="685" spans="1:13" ht="22.5" x14ac:dyDescent="0.25">
      <c r="A685" s="5" t="s">
        <v>692</v>
      </c>
      <c r="B685" s="6" t="s">
        <v>715</v>
      </c>
      <c r="C685" s="6" t="s">
        <v>15</v>
      </c>
      <c r="D685" s="6" t="s">
        <v>16</v>
      </c>
      <c r="E685" s="6" t="s">
        <v>3</v>
      </c>
      <c r="F685" s="6" t="s">
        <v>17</v>
      </c>
      <c r="G685" s="5" t="s">
        <v>807</v>
      </c>
      <c r="H685" s="6" t="s">
        <v>179</v>
      </c>
      <c r="I685" s="7">
        <v>6259</v>
      </c>
      <c r="J685" s="6" t="s">
        <v>719</v>
      </c>
      <c r="K685" s="61"/>
      <c r="L685" s="20">
        <f>0.6259*280.51*117.5809</f>
        <v>20643.820768308102</v>
      </c>
      <c r="M685" s="20">
        <f t="shared" si="41"/>
        <v>6193.1462304924307</v>
      </c>
    </row>
    <row r="686" spans="1:13" ht="22.5" x14ac:dyDescent="0.25">
      <c r="A686" s="5" t="s">
        <v>692</v>
      </c>
      <c r="B686" s="6" t="s">
        <v>715</v>
      </c>
      <c r="C686" s="6" t="s">
        <v>15</v>
      </c>
      <c r="D686" s="6" t="s">
        <v>16</v>
      </c>
      <c r="E686" s="6" t="s">
        <v>3</v>
      </c>
      <c r="F686" s="6" t="s">
        <v>17</v>
      </c>
      <c r="G686" s="5" t="s">
        <v>808</v>
      </c>
      <c r="H686" s="6" t="s">
        <v>179</v>
      </c>
      <c r="I686" s="7">
        <v>1816</v>
      </c>
      <c r="J686" s="6" t="s">
        <v>719</v>
      </c>
      <c r="K686" s="61"/>
      <c r="L686" s="21">
        <f>0.1816*280.51*117.5809</f>
        <v>5989.6434758343994</v>
      </c>
      <c r="M686" s="21">
        <f t="shared" si="41"/>
        <v>1796.8930427503199</v>
      </c>
    </row>
    <row r="687" spans="1:13" ht="22.5" x14ac:dyDescent="0.25">
      <c r="A687" s="5" t="s">
        <v>692</v>
      </c>
      <c r="B687" s="6" t="s">
        <v>715</v>
      </c>
      <c r="C687" s="6" t="s">
        <v>15</v>
      </c>
      <c r="D687" s="6" t="s">
        <v>16</v>
      </c>
      <c r="E687" s="6" t="s">
        <v>3</v>
      </c>
      <c r="F687" s="6" t="s">
        <v>17</v>
      </c>
      <c r="G687" s="5" t="s">
        <v>809</v>
      </c>
      <c r="H687" s="6" t="s">
        <v>179</v>
      </c>
      <c r="I687" s="7">
        <v>872</v>
      </c>
      <c r="J687" s="6" t="s">
        <v>719</v>
      </c>
      <c r="K687" s="61"/>
      <c r="L687" s="20">
        <f>0.0872*280.51*117.5809</f>
        <v>2876.0843121847997</v>
      </c>
      <c r="M687" s="20">
        <f t="shared" si="41"/>
        <v>862.82529365543985</v>
      </c>
    </row>
    <row r="688" spans="1:13" ht="22.5" x14ac:dyDescent="0.25">
      <c r="A688" s="5" t="s">
        <v>692</v>
      </c>
      <c r="B688" s="6" t="s">
        <v>715</v>
      </c>
      <c r="C688" s="6" t="s">
        <v>15</v>
      </c>
      <c r="D688" s="6" t="s">
        <v>16</v>
      </c>
      <c r="E688" s="6" t="s">
        <v>3</v>
      </c>
      <c r="F688" s="6" t="s">
        <v>17</v>
      </c>
      <c r="G688" s="5" t="s">
        <v>810</v>
      </c>
      <c r="H688" s="6" t="s">
        <v>179</v>
      </c>
      <c r="I688" s="7">
        <v>470</v>
      </c>
      <c r="J688" s="6" t="s">
        <v>719</v>
      </c>
      <c r="K688" s="61"/>
      <c r="L688" s="21">
        <f>0.047*280.51*117.5809</f>
        <v>1550.1830581730001</v>
      </c>
      <c r="M688" s="21">
        <f t="shared" si="41"/>
        <v>465.0549174519</v>
      </c>
    </row>
    <row r="689" spans="1:13" ht="22.5" x14ac:dyDescent="0.25">
      <c r="A689" s="5" t="s">
        <v>692</v>
      </c>
      <c r="B689" s="6" t="s">
        <v>715</v>
      </c>
      <c r="C689" s="6" t="s">
        <v>15</v>
      </c>
      <c r="D689" s="6" t="s">
        <v>16</v>
      </c>
      <c r="E689" s="6" t="s">
        <v>3</v>
      </c>
      <c r="F689" s="6" t="s">
        <v>17</v>
      </c>
      <c r="G689" s="5" t="s">
        <v>811</v>
      </c>
      <c r="H689" s="6" t="s">
        <v>179</v>
      </c>
      <c r="I689" s="7">
        <v>4</v>
      </c>
      <c r="J689" s="6" t="s">
        <v>719</v>
      </c>
      <c r="K689" s="61"/>
      <c r="L689" s="20">
        <f>0.0004*280.51*117.5809</f>
        <v>13.1930473036</v>
      </c>
      <c r="M689" s="20">
        <f t="shared" si="41"/>
        <v>3.95791419108</v>
      </c>
    </row>
    <row r="690" spans="1:13" ht="22.5" x14ac:dyDescent="0.25">
      <c r="A690" s="5" t="s">
        <v>692</v>
      </c>
      <c r="B690" s="6" t="s">
        <v>715</v>
      </c>
      <c r="C690" s="6" t="s">
        <v>15</v>
      </c>
      <c r="D690" s="6" t="s">
        <v>16</v>
      </c>
      <c r="E690" s="6" t="s">
        <v>3</v>
      </c>
      <c r="F690" s="6" t="s">
        <v>17</v>
      </c>
      <c r="G690" s="5" t="s">
        <v>812</v>
      </c>
      <c r="H690" s="6" t="s">
        <v>179</v>
      </c>
      <c r="I690" s="7">
        <v>1734</v>
      </c>
      <c r="J690" s="6" t="s">
        <v>719</v>
      </c>
      <c r="K690" s="61"/>
      <c r="L690" s="21">
        <f>0.1734*280.51*117.5809</f>
        <v>5719.1860061105999</v>
      </c>
      <c r="M690" s="21">
        <f t="shared" si="41"/>
        <v>1715.7558018331799</v>
      </c>
    </row>
    <row r="691" spans="1:13" ht="22.5" x14ac:dyDescent="0.25">
      <c r="A691" s="5" t="s">
        <v>692</v>
      </c>
      <c r="B691" s="6" t="s">
        <v>715</v>
      </c>
      <c r="C691" s="6" t="s">
        <v>15</v>
      </c>
      <c r="D691" s="6" t="s">
        <v>16</v>
      </c>
      <c r="E691" s="6" t="s">
        <v>3</v>
      </c>
      <c r="F691" s="6" t="s">
        <v>17</v>
      </c>
      <c r="G691" s="5" t="s">
        <v>813</v>
      </c>
      <c r="H691" s="6" t="s">
        <v>179</v>
      </c>
      <c r="I691" s="7">
        <v>11</v>
      </c>
      <c r="J691" s="6" t="s">
        <v>719</v>
      </c>
      <c r="K691" s="61"/>
      <c r="L691" s="20">
        <f>0.0011*280.51*117.5809</f>
        <v>36.280880084900005</v>
      </c>
      <c r="M691" s="20">
        <f t="shared" si="41"/>
        <v>10.884264025470001</v>
      </c>
    </row>
    <row r="692" spans="1:13" ht="22.5" x14ac:dyDescent="0.25">
      <c r="A692" s="5" t="s">
        <v>692</v>
      </c>
      <c r="B692" s="6" t="s">
        <v>715</v>
      </c>
      <c r="C692" s="6" t="s">
        <v>15</v>
      </c>
      <c r="D692" s="6" t="s">
        <v>16</v>
      </c>
      <c r="E692" s="6" t="s">
        <v>3</v>
      </c>
      <c r="F692" s="6" t="s">
        <v>17</v>
      </c>
      <c r="G692" s="5" t="s">
        <v>814</v>
      </c>
      <c r="H692" s="6" t="s">
        <v>179</v>
      </c>
      <c r="I692" s="7">
        <v>2060</v>
      </c>
      <c r="J692" s="6" t="s">
        <v>719</v>
      </c>
      <c r="K692" s="61"/>
      <c r="L692" s="21">
        <f>0.206*280.51*117.5809</f>
        <v>6794.4193613539992</v>
      </c>
      <c r="M692" s="21">
        <f t="shared" si="41"/>
        <v>2038.3258084061997</v>
      </c>
    </row>
    <row r="693" spans="1:13" x14ac:dyDescent="0.25">
      <c r="A693" s="5"/>
      <c r="B693" s="6"/>
      <c r="C693" s="6"/>
      <c r="D693" s="6"/>
      <c r="E693" s="6"/>
      <c r="F693" s="6"/>
      <c r="G693" s="5"/>
      <c r="H693" s="13" t="s">
        <v>25</v>
      </c>
      <c r="I693" s="7">
        <f>+SUM(I681:I692)</f>
        <v>19706</v>
      </c>
      <c r="J693" s="6"/>
      <c r="K693" s="62"/>
      <c r="L693" s="38">
        <f>SUM(L681:L692)</f>
        <v>64995.547541185391</v>
      </c>
      <c r="M693" s="38">
        <f>SUM(M681:M692)</f>
        <v>19498.664262355618</v>
      </c>
    </row>
    <row r="694" spans="1:13" ht="22.5" x14ac:dyDescent="0.25">
      <c r="A694" s="5" t="s">
        <v>692</v>
      </c>
      <c r="B694" s="6" t="s">
        <v>715</v>
      </c>
      <c r="C694" s="6" t="s">
        <v>15</v>
      </c>
      <c r="D694" s="6" t="s">
        <v>16</v>
      </c>
      <c r="E694" s="6" t="s">
        <v>3</v>
      </c>
      <c r="F694" s="6" t="s">
        <v>17</v>
      </c>
      <c r="G694" s="5" t="s">
        <v>815</v>
      </c>
      <c r="H694" s="6" t="s">
        <v>28</v>
      </c>
      <c r="I694" s="7">
        <v>1058</v>
      </c>
      <c r="J694" s="6" t="s">
        <v>719</v>
      </c>
      <c r="K694" s="60">
        <v>22</v>
      </c>
      <c r="L694" s="16">
        <f>0.1058*255.26*117.5809</f>
        <v>3175.4495164972</v>
      </c>
      <c r="M694" s="16">
        <f t="shared" ref="M694:M707" si="42">L694*0.3</f>
        <v>952.63485494915994</v>
      </c>
    </row>
    <row r="695" spans="1:13" ht="22.5" x14ac:dyDescent="0.25">
      <c r="A695" s="5" t="s">
        <v>692</v>
      </c>
      <c r="B695" s="6" t="s">
        <v>715</v>
      </c>
      <c r="C695" s="6" t="s">
        <v>15</v>
      </c>
      <c r="D695" s="6" t="s">
        <v>16</v>
      </c>
      <c r="E695" s="6" t="s">
        <v>3</v>
      </c>
      <c r="F695" s="6" t="s">
        <v>17</v>
      </c>
      <c r="G695" s="5" t="s">
        <v>816</v>
      </c>
      <c r="H695" s="6" t="s">
        <v>28</v>
      </c>
      <c r="I695" s="7">
        <v>1185</v>
      </c>
      <c r="J695" s="6" t="s">
        <v>719</v>
      </c>
      <c r="K695" s="61"/>
      <c r="L695" s="12">
        <f>0.1185*255.26*117.5809</f>
        <v>3556.6235132789998</v>
      </c>
      <c r="M695" s="12">
        <f t="shared" si="42"/>
        <v>1066.9870539837</v>
      </c>
    </row>
    <row r="696" spans="1:13" ht="22.5" x14ac:dyDescent="0.25">
      <c r="A696" s="5" t="s">
        <v>692</v>
      </c>
      <c r="B696" s="6" t="s">
        <v>715</v>
      </c>
      <c r="C696" s="6" t="s">
        <v>15</v>
      </c>
      <c r="D696" s="6" t="s">
        <v>16</v>
      </c>
      <c r="E696" s="6" t="s">
        <v>3</v>
      </c>
      <c r="F696" s="6" t="s">
        <v>17</v>
      </c>
      <c r="G696" s="5" t="s">
        <v>817</v>
      </c>
      <c r="H696" s="6" t="s">
        <v>28</v>
      </c>
      <c r="I696" s="7">
        <v>3402</v>
      </c>
      <c r="J696" s="6" t="s">
        <v>719</v>
      </c>
      <c r="K696" s="61"/>
      <c r="L696" s="16">
        <f>0.3402*255.26*117.5809</f>
        <v>10210.660921666798</v>
      </c>
      <c r="M696" s="16">
        <f t="shared" si="42"/>
        <v>3063.1982765000394</v>
      </c>
    </row>
    <row r="697" spans="1:13" ht="22.5" x14ac:dyDescent="0.25">
      <c r="A697" s="5" t="s">
        <v>692</v>
      </c>
      <c r="B697" s="6" t="s">
        <v>715</v>
      </c>
      <c r="C697" s="6" t="s">
        <v>15</v>
      </c>
      <c r="D697" s="6" t="s">
        <v>16</v>
      </c>
      <c r="E697" s="6" t="s">
        <v>3</v>
      </c>
      <c r="F697" s="6" t="s">
        <v>17</v>
      </c>
      <c r="G697" s="5" t="s">
        <v>818</v>
      </c>
      <c r="H697" s="6" t="s">
        <v>28</v>
      </c>
      <c r="I697" s="7">
        <v>510</v>
      </c>
      <c r="J697" s="6" t="s">
        <v>719</v>
      </c>
      <c r="K697" s="61"/>
      <c r="L697" s="12">
        <f>0.051*255.26*117.5809</f>
        <v>1530.6987272339998</v>
      </c>
      <c r="M697" s="12">
        <f t="shared" si="42"/>
        <v>459.20961817019992</v>
      </c>
    </row>
    <row r="698" spans="1:13" ht="22.5" x14ac:dyDescent="0.25">
      <c r="A698" s="5" t="s">
        <v>692</v>
      </c>
      <c r="B698" s="6" t="s">
        <v>715</v>
      </c>
      <c r="C698" s="6" t="s">
        <v>15</v>
      </c>
      <c r="D698" s="6" t="s">
        <v>16</v>
      </c>
      <c r="E698" s="6" t="s">
        <v>3</v>
      </c>
      <c r="F698" s="6" t="s">
        <v>17</v>
      </c>
      <c r="G698" s="5" t="s">
        <v>819</v>
      </c>
      <c r="H698" s="6" t="s">
        <v>28</v>
      </c>
      <c r="I698" s="7">
        <v>1882</v>
      </c>
      <c r="J698" s="6" t="s">
        <v>719</v>
      </c>
      <c r="K698" s="61"/>
      <c r="L698" s="16">
        <f>0.1882*255.26*117.5809</f>
        <v>5648.5784404987999</v>
      </c>
      <c r="M698" s="16">
        <f t="shared" si="42"/>
        <v>1694.57353214964</v>
      </c>
    </row>
    <row r="699" spans="1:13" ht="22.5" x14ac:dyDescent="0.25">
      <c r="A699" s="5" t="s">
        <v>692</v>
      </c>
      <c r="B699" s="6" t="s">
        <v>715</v>
      </c>
      <c r="C699" s="6" t="s">
        <v>15</v>
      </c>
      <c r="D699" s="6" t="s">
        <v>16</v>
      </c>
      <c r="E699" s="6" t="s">
        <v>3</v>
      </c>
      <c r="F699" s="6" t="s">
        <v>17</v>
      </c>
      <c r="G699" s="5" t="s">
        <v>820</v>
      </c>
      <c r="H699" s="6" t="s">
        <v>28</v>
      </c>
      <c r="I699" s="7">
        <v>2911</v>
      </c>
      <c r="J699" s="6" t="s">
        <v>719</v>
      </c>
      <c r="K699" s="61"/>
      <c r="L699" s="12">
        <f>0.2911*255.26*117.5809</f>
        <v>8736.9882254473996</v>
      </c>
      <c r="M699" s="12">
        <f t="shared" si="42"/>
        <v>2621.0964676342196</v>
      </c>
    </row>
    <row r="700" spans="1:13" ht="22.5" x14ac:dyDescent="0.25">
      <c r="A700" s="5" t="s">
        <v>692</v>
      </c>
      <c r="B700" s="6" t="s">
        <v>715</v>
      </c>
      <c r="C700" s="6" t="s">
        <v>15</v>
      </c>
      <c r="D700" s="6" t="s">
        <v>16</v>
      </c>
      <c r="E700" s="6" t="s">
        <v>3</v>
      </c>
      <c r="F700" s="6" t="s">
        <v>17</v>
      </c>
      <c r="G700" s="5" t="s">
        <v>821</v>
      </c>
      <c r="H700" s="6" t="s">
        <v>28</v>
      </c>
      <c r="I700" s="7">
        <v>5788</v>
      </c>
      <c r="J700" s="6" t="s">
        <v>719</v>
      </c>
      <c r="K700" s="61"/>
      <c r="L700" s="16">
        <f>0.5788*255.26*117.5809</f>
        <v>17371.929869079198</v>
      </c>
      <c r="M700" s="16">
        <f t="shared" si="42"/>
        <v>5211.5789607237593</v>
      </c>
    </row>
    <row r="701" spans="1:13" ht="22.5" x14ac:dyDescent="0.25">
      <c r="A701" s="5" t="s">
        <v>692</v>
      </c>
      <c r="B701" s="6" t="s">
        <v>715</v>
      </c>
      <c r="C701" s="6" t="s">
        <v>15</v>
      </c>
      <c r="D701" s="6" t="s">
        <v>16</v>
      </c>
      <c r="E701" s="6" t="s">
        <v>3</v>
      </c>
      <c r="F701" s="6" t="s">
        <v>17</v>
      </c>
      <c r="G701" s="5" t="s">
        <v>822</v>
      </c>
      <c r="H701" s="6" t="s">
        <v>28</v>
      </c>
      <c r="I701" s="7">
        <v>1901</v>
      </c>
      <c r="J701" s="6" t="s">
        <v>719</v>
      </c>
      <c r="K701" s="61"/>
      <c r="L701" s="12">
        <f>0.1901*255.26*117.5809</f>
        <v>5705.6044715133994</v>
      </c>
      <c r="M701" s="12">
        <f t="shared" si="42"/>
        <v>1711.6813414540197</v>
      </c>
    </row>
    <row r="702" spans="1:13" ht="22.5" x14ac:dyDescent="0.25">
      <c r="A702" s="5" t="s">
        <v>692</v>
      </c>
      <c r="B702" s="6" t="s">
        <v>715</v>
      </c>
      <c r="C702" s="6" t="s">
        <v>15</v>
      </c>
      <c r="D702" s="6" t="s">
        <v>16</v>
      </c>
      <c r="E702" s="6" t="s">
        <v>3</v>
      </c>
      <c r="F702" s="6" t="s">
        <v>17</v>
      </c>
      <c r="G702" s="5" t="s">
        <v>823</v>
      </c>
      <c r="H702" s="6" t="s">
        <v>28</v>
      </c>
      <c r="I702" s="7">
        <v>1300</v>
      </c>
      <c r="J702" s="6" t="s">
        <v>719</v>
      </c>
      <c r="K702" s="61"/>
      <c r="L702" s="16">
        <f>0.13*255.26*117.5809</f>
        <v>3901.7810694199998</v>
      </c>
      <c r="M702" s="16">
        <f t="shared" si="42"/>
        <v>1170.5343208259999</v>
      </c>
    </row>
    <row r="703" spans="1:13" ht="22.5" x14ac:dyDescent="0.25">
      <c r="A703" s="5" t="s">
        <v>692</v>
      </c>
      <c r="B703" s="6" t="s">
        <v>715</v>
      </c>
      <c r="C703" s="6" t="s">
        <v>15</v>
      </c>
      <c r="D703" s="6" t="s">
        <v>16</v>
      </c>
      <c r="E703" s="6" t="s">
        <v>3</v>
      </c>
      <c r="F703" s="6" t="s">
        <v>17</v>
      </c>
      <c r="G703" s="5" t="s">
        <v>824</v>
      </c>
      <c r="H703" s="6" t="s">
        <v>28</v>
      </c>
      <c r="I703" s="7">
        <v>47</v>
      </c>
      <c r="J703" s="6" t="s">
        <v>719</v>
      </c>
      <c r="K703" s="61"/>
      <c r="L703" s="12">
        <f>0.0047*255.26*117.5809</f>
        <v>141.0643925098</v>
      </c>
      <c r="M703" s="12">
        <f t="shared" si="42"/>
        <v>42.319317752940002</v>
      </c>
    </row>
    <row r="704" spans="1:13" ht="22.5" x14ac:dyDescent="0.25">
      <c r="A704" s="5" t="s">
        <v>692</v>
      </c>
      <c r="B704" s="6" t="s">
        <v>715</v>
      </c>
      <c r="C704" s="6" t="s">
        <v>15</v>
      </c>
      <c r="D704" s="6" t="s">
        <v>16</v>
      </c>
      <c r="E704" s="6" t="s">
        <v>3</v>
      </c>
      <c r="F704" s="6" t="s">
        <v>17</v>
      </c>
      <c r="G704" s="5" t="s">
        <v>825</v>
      </c>
      <c r="H704" s="6" t="s">
        <v>28</v>
      </c>
      <c r="I704" s="7">
        <v>2001</v>
      </c>
      <c r="J704" s="6" t="s">
        <v>719</v>
      </c>
      <c r="K704" s="61"/>
      <c r="L704" s="16">
        <f>0.2001*255.26*117.5809</f>
        <v>6005.7414768533999</v>
      </c>
      <c r="M704" s="16">
        <f t="shared" si="42"/>
        <v>1801.72244305602</v>
      </c>
    </row>
    <row r="705" spans="1:13" ht="22.5" x14ac:dyDescent="0.25">
      <c r="A705" s="5" t="s">
        <v>692</v>
      </c>
      <c r="B705" s="6" t="s">
        <v>715</v>
      </c>
      <c r="C705" s="6" t="s">
        <v>15</v>
      </c>
      <c r="D705" s="6" t="s">
        <v>16</v>
      </c>
      <c r="E705" s="6" t="s">
        <v>3</v>
      </c>
      <c r="F705" s="6" t="s">
        <v>17</v>
      </c>
      <c r="G705" s="5" t="s">
        <v>826</v>
      </c>
      <c r="H705" s="6" t="s">
        <v>19</v>
      </c>
      <c r="I705" s="7">
        <v>1259</v>
      </c>
      <c r="J705" s="6" t="s">
        <v>719</v>
      </c>
      <c r="K705" s="61"/>
      <c r="L705" s="12">
        <f>0.1259*68.16*117.5809</f>
        <v>1009.0021507296</v>
      </c>
      <c r="M705" s="12">
        <f t="shared" si="42"/>
        <v>302.70064521887997</v>
      </c>
    </row>
    <row r="706" spans="1:13" ht="22.5" x14ac:dyDescent="0.25">
      <c r="A706" s="5" t="s">
        <v>692</v>
      </c>
      <c r="B706" s="6" t="s">
        <v>715</v>
      </c>
      <c r="C706" s="6" t="s">
        <v>15</v>
      </c>
      <c r="D706" s="6" t="s">
        <v>16</v>
      </c>
      <c r="E706" s="6" t="s">
        <v>3</v>
      </c>
      <c r="F706" s="6" t="s">
        <v>17</v>
      </c>
      <c r="G706" s="5" t="s">
        <v>827</v>
      </c>
      <c r="H706" s="6" t="s">
        <v>28</v>
      </c>
      <c r="I706" s="7">
        <v>1977</v>
      </c>
      <c r="J706" s="6" t="s">
        <v>719</v>
      </c>
      <c r="K706" s="61"/>
      <c r="L706" s="16">
        <f>0.1977*255.26*117.5809</f>
        <v>5933.7085955717994</v>
      </c>
      <c r="M706" s="16">
        <f t="shared" si="42"/>
        <v>1780.1125786715397</v>
      </c>
    </row>
    <row r="707" spans="1:13" ht="22.5" x14ac:dyDescent="0.25">
      <c r="A707" s="5" t="s">
        <v>692</v>
      </c>
      <c r="B707" s="6" t="s">
        <v>715</v>
      </c>
      <c r="C707" s="6" t="s">
        <v>15</v>
      </c>
      <c r="D707" s="6" t="s">
        <v>16</v>
      </c>
      <c r="E707" s="6" t="s">
        <v>3</v>
      </c>
      <c r="F707" s="6" t="s">
        <v>17</v>
      </c>
      <c r="G707" s="5" t="s">
        <v>828</v>
      </c>
      <c r="H707" s="6" t="s">
        <v>28</v>
      </c>
      <c r="I707" s="7">
        <v>321</v>
      </c>
      <c r="J707" s="6" t="s">
        <v>719</v>
      </c>
      <c r="K707" s="61"/>
      <c r="L707" s="12">
        <f>0.0321*255.26*117.5809</f>
        <v>963.43978714139985</v>
      </c>
      <c r="M707" s="12">
        <f t="shared" si="42"/>
        <v>289.03193614241997</v>
      </c>
    </row>
    <row r="708" spans="1:13" x14ac:dyDescent="0.25">
      <c r="A708" s="5"/>
      <c r="B708" s="6"/>
      <c r="C708" s="6"/>
      <c r="D708" s="6"/>
      <c r="E708" s="6"/>
      <c r="F708" s="6"/>
      <c r="G708" s="5"/>
      <c r="H708" s="13" t="s">
        <v>25</v>
      </c>
      <c r="I708" s="7">
        <f>+SUM(I694:I707)</f>
        <v>25542</v>
      </c>
      <c r="J708" s="6"/>
      <c r="K708" s="62"/>
      <c r="L708" s="25">
        <f>+SUM(L694:L707)</f>
        <v>73891.271157441777</v>
      </c>
      <c r="M708" s="25">
        <f>+SUM(M694:M707)</f>
        <v>22167.381347232531</v>
      </c>
    </row>
    <row r="709" spans="1:13" ht="22.5" x14ac:dyDescent="0.25">
      <c r="A709" s="5" t="s">
        <v>692</v>
      </c>
      <c r="B709" s="6" t="s">
        <v>715</v>
      </c>
      <c r="C709" s="6" t="s">
        <v>15</v>
      </c>
      <c r="D709" s="6" t="s">
        <v>16</v>
      </c>
      <c r="E709" s="6" t="s">
        <v>3</v>
      </c>
      <c r="F709" s="6" t="s">
        <v>17</v>
      </c>
      <c r="G709" s="5" t="s">
        <v>829</v>
      </c>
      <c r="H709" s="6" t="s">
        <v>179</v>
      </c>
      <c r="I709" s="7">
        <v>4944</v>
      </c>
      <c r="J709" s="6" t="s">
        <v>798</v>
      </c>
      <c r="K709" s="24">
        <v>23</v>
      </c>
      <c r="L709" s="22">
        <f>0.4944*280.51*117.5809</f>
        <v>16306.6064672496</v>
      </c>
      <c r="M709" s="22">
        <f t="shared" ref="M709:M717" si="43">L709*0.3</f>
        <v>4891.98194017488</v>
      </c>
    </row>
    <row r="710" spans="1:13" ht="22.5" x14ac:dyDescent="0.25">
      <c r="A710" s="5" t="s">
        <v>692</v>
      </c>
      <c r="B710" s="6" t="s">
        <v>715</v>
      </c>
      <c r="C710" s="6" t="s">
        <v>15</v>
      </c>
      <c r="D710" s="6" t="s">
        <v>16</v>
      </c>
      <c r="E710" s="6" t="s">
        <v>3</v>
      </c>
      <c r="F710" s="6" t="s">
        <v>17</v>
      </c>
      <c r="G710" s="5" t="s">
        <v>830</v>
      </c>
      <c r="H710" s="6" t="s">
        <v>28</v>
      </c>
      <c r="I710" s="7">
        <v>1495</v>
      </c>
      <c r="J710" s="6" t="s">
        <v>831</v>
      </c>
      <c r="K710" s="24">
        <v>24</v>
      </c>
      <c r="L710" s="22">
        <f>0.1495*255.26*117.5809</f>
        <v>4487.0482298329998</v>
      </c>
      <c r="M710" s="22">
        <f t="shared" si="43"/>
        <v>1346.1144689498999</v>
      </c>
    </row>
    <row r="711" spans="1:13" ht="33.75" x14ac:dyDescent="0.25">
      <c r="A711" s="5" t="s">
        <v>692</v>
      </c>
      <c r="B711" s="6">
        <v>3335</v>
      </c>
      <c r="C711" s="6" t="s">
        <v>15</v>
      </c>
      <c r="D711" s="6" t="s">
        <v>16</v>
      </c>
      <c r="E711" s="6" t="s">
        <v>3</v>
      </c>
      <c r="F711" s="6" t="s">
        <v>17</v>
      </c>
      <c r="G711" s="10" t="s">
        <v>832</v>
      </c>
      <c r="H711" s="6" t="s">
        <v>28</v>
      </c>
      <c r="I711" s="7">
        <v>360</v>
      </c>
      <c r="J711" s="6" t="s">
        <v>833</v>
      </c>
      <c r="K711" s="24">
        <v>25</v>
      </c>
      <c r="L711" s="19">
        <f>0.036*255.26*117.5809</f>
        <v>1080.4932192239999</v>
      </c>
      <c r="M711" s="19">
        <f t="shared" si="43"/>
        <v>324.14796576719993</v>
      </c>
    </row>
    <row r="712" spans="1:13" ht="45" x14ac:dyDescent="0.25">
      <c r="A712" s="5" t="s">
        <v>692</v>
      </c>
      <c r="B712" s="6" t="s">
        <v>715</v>
      </c>
      <c r="C712" s="6" t="s">
        <v>15</v>
      </c>
      <c r="D712" s="6" t="s">
        <v>16</v>
      </c>
      <c r="E712" s="6" t="s">
        <v>3</v>
      </c>
      <c r="F712" s="6" t="s">
        <v>17</v>
      </c>
      <c r="G712" s="5" t="s">
        <v>834</v>
      </c>
      <c r="H712" s="6" t="s">
        <v>28</v>
      </c>
      <c r="I712" s="7">
        <v>5117</v>
      </c>
      <c r="J712" s="6" t="s">
        <v>835</v>
      </c>
      <c r="K712" s="24">
        <v>26</v>
      </c>
      <c r="L712" s="22">
        <f>0.5117*255.26*117.5809</f>
        <v>15358.010563247801</v>
      </c>
      <c r="M712" s="22">
        <f t="shared" si="43"/>
        <v>4607.4031689743397</v>
      </c>
    </row>
    <row r="713" spans="1:13" ht="45" x14ac:dyDescent="0.25">
      <c r="A713" s="5" t="s">
        <v>692</v>
      </c>
      <c r="B713" s="6" t="s">
        <v>715</v>
      </c>
      <c r="C713" s="6" t="s">
        <v>15</v>
      </c>
      <c r="D713" s="6" t="s">
        <v>16</v>
      </c>
      <c r="E713" s="6" t="s">
        <v>3</v>
      </c>
      <c r="F713" s="6" t="s">
        <v>17</v>
      </c>
      <c r="G713" s="5" t="s">
        <v>836</v>
      </c>
      <c r="H713" s="6" t="s">
        <v>28</v>
      </c>
      <c r="I713" s="7">
        <v>9209</v>
      </c>
      <c r="J713" s="6" t="s">
        <v>835</v>
      </c>
      <c r="K713" s="24">
        <v>27</v>
      </c>
      <c r="L713" s="15">
        <f>0.9209*255.26*117.5809</f>
        <v>27639.616821760603</v>
      </c>
      <c r="M713" s="15">
        <f t="shared" si="43"/>
        <v>8291.8850465281812</v>
      </c>
    </row>
    <row r="714" spans="1:13" ht="45" x14ac:dyDescent="0.25">
      <c r="A714" s="5" t="s">
        <v>692</v>
      </c>
      <c r="B714" s="6" t="s">
        <v>715</v>
      </c>
      <c r="C714" s="6" t="s">
        <v>15</v>
      </c>
      <c r="D714" s="6" t="s">
        <v>16</v>
      </c>
      <c r="E714" s="6" t="s">
        <v>3</v>
      </c>
      <c r="F714" s="6" t="s">
        <v>17</v>
      </c>
      <c r="G714" s="5" t="s">
        <v>837</v>
      </c>
      <c r="H714" s="6" t="s">
        <v>28</v>
      </c>
      <c r="I714" s="7">
        <v>320</v>
      </c>
      <c r="J714" s="6" t="s">
        <v>835</v>
      </c>
      <c r="K714" s="60">
        <v>28</v>
      </c>
      <c r="L714" s="20">
        <f>0.032*255.26*117.5809</f>
        <v>960.43841708799994</v>
      </c>
      <c r="M714" s="20">
        <f t="shared" si="43"/>
        <v>288.13152512639999</v>
      </c>
    </row>
    <row r="715" spans="1:13" ht="45" x14ac:dyDescent="0.25">
      <c r="A715" s="5" t="s">
        <v>692</v>
      </c>
      <c r="B715" s="6" t="s">
        <v>715</v>
      </c>
      <c r="C715" s="6" t="s">
        <v>15</v>
      </c>
      <c r="D715" s="6" t="s">
        <v>16</v>
      </c>
      <c r="E715" s="6" t="s">
        <v>3</v>
      </c>
      <c r="F715" s="6" t="s">
        <v>17</v>
      </c>
      <c r="G715" s="5" t="s">
        <v>838</v>
      </c>
      <c r="H715" s="6" t="s">
        <v>28</v>
      </c>
      <c r="I715" s="7">
        <v>451</v>
      </c>
      <c r="J715" s="6" t="s">
        <v>835</v>
      </c>
      <c r="K715" s="61"/>
      <c r="L715" s="21">
        <f>0.0451*255.26*117.5809</f>
        <v>1353.6178940834</v>
      </c>
      <c r="M715" s="21">
        <f t="shared" si="43"/>
        <v>406.08536822501998</v>
      </c>
    </row>
    <row r="716" spans="1:13" ht="45" x14ac:dyDescent="0.25">
      <c r="A716" s="5" t="s">
        <v>692</v>
      </c>
      <c r="B716" s="6" t="s">
        <v>715</v>
      </c>
      <c r="C716" s="6" t="s">
        <v>15</v>
      </c>
      <c r="D716" s="6" t="s">
        <v>16</v>
      </c>
      <c r="E716" s="6" t="s">
        <v>3</v>
      </c>
      <c r="F716" s="6" t="s">
        <v>17</v>
      </c>
      <c r="G716" s="5" t="s">
        <v>839</v>
      </c>
      <c r="H716" s="6" t="s">
        <v>28</v>
      </c>
      <c r="I716" s="7">
        <v>3741</v>
      </c>
      <c r="J716" s="6" t="s">
        <v>835</v>
      </c>
      <c r="K716" s="61"/>
      <c r="L716" s="20">
        <f>0.3741*255.26*117.5809</f>
        <v>11228.125369769399</v>
      </c>
      <c r="M716" s="20">
        <f t="shared" si="43"/>
        <v>3368.4376109308196</v>
      </c>
    </row>
    <row r="717" spans="1:13" ht="45" x14ac:dyDescent="0.25">
      <c r="A717" s="5" t="s">
        <v>692</v>
      </c>
      <c r="B717" s="6" t="s">
        <v>715</v>
      </c>
      <c r="C717" s="6" t="s">
        <v>15</v>
      </c>
      <c r="D717" s="6" t="s">
        <v>16</v>
      </c>
      <c r="E717" s="6" t="s">
        <v>3</v>
      </c>
      <c r="F717" s="6" t="s">
        <v>17</v>
      </c>
      <c r="G717" s="5" t="s">
        <v>840</v>
      </c>
      <c r="H717" s="6" t="s">
        <v>28</v>
      </c>
      <c r="I717" s="7">
        <v>295</v>
      </c>
      <c r="J717" s="6" t="s">
        <v>835</v>
      </c>
      <c r="K717" s="61"/>
      <c r="L717" s="21">
        <f>0.0295*255.26*117.5809</f>
        <v>885.40416575299992</v>
      </c>
      <c r="M717" s="21">
        <f t="shared" si="43"/>
        <v>265.62124972589999</v>
      </c>
    </row>
    <row r="718" spans="1:13" x14ac:dyDescent="0.25">
      <c r="A718" s="5"/>
      <c r="B718" s="6"/>
      <c r="C718" s="6"/>
      <c r="D718" s="6"/>
      <c r="E718" s="6"/>
      <c r="F718" s="6"/>
      <c r="G718" s="5"/>
      <c r="H718" s="13" t="s">
        <v>25</v>
      </c>
      <c r="I718" s="7">
        <f>+SUM(I714:I717)</f>
        <v>4807</v>
      </c>
      <c r="J718" s="6"/>
      <c r="K718" s="62"/>
      <c r="L718" s="38">
        <f>SUM(L714:L717)</f>
        <v>14427.585846693799</v>
      </c>
      <c r="M718" s="38">
        <f>SUM(M714:M717)</f>
        <v>4328.2757540081393</v>
      </c>
    </row>
    <row r="719" spans="1:13" ht="22.5" x14ac:dyDescent="0.25">
      <c r="A719" s="5" t="s">
        <v>692</v>
      </c>
      <c r="B719" s="6" t="s">
        <v>715</v>
      </c>
      <c r="C719" s="6" t="s">
        <v>15</v>
      </c>
      <c r="D719" s="6" t="s">
        <v>16</v>
      </c>
      <c r="E719" s="6" t="s">
        <v>3</v>
      </c>
      <c r="F719" s="6" t="s">
        <v>17</v>
      </c>
      <c r="G719" s="5" t="s">
        <v>841</v>
      </c>
      <c r="H719" s="6" t="s">
        <v>28</v>
      </c>
      <c r="I719" s="7">
        <v>1023</v>
      </c>
      <c r="J719" s="6" t="s">
        <v>842</v>
      </c>
      <c r="K719" s="60">
        <v>29</v>
      </c>
      <c r="L719" s="16">
        <f>0.1023*255.26*117.5809</f>
        <v>3070.4015646282</v>
      </c>
      <c r="M719" s="16">
        <f>L719*0.3</f>
        <v>921.12046938845992</v>
      </c>
    </row>
    <row r="720" spans="1:13" ht="22.5" x14ac:dyDescent="0.25">
      <c r="A720" s="5" t="s">
        <v>692</v>
      </c>
      <c r="B720" s="6" t="s">
        <v>715</v>
      </c>
      <c r="C720" s="6" t="s">
        <v>15</v>
      </c>
      <c r="D720" s="6" t="s">
        <v>16</v>
      </c>
      <c r="E720" s="6" t="s">
        <v>3</v>
      </c>
      <c r="F720" s="6" t="s">
        <v>17</v>
      </c>
      <c r="G720" s="5" t="s">
        <v>843</v>
      </c>
      <c r="H720" s="6" t="s">
        <v>28</v>
      </c>
      <c r="I720" s="7">
        <v>1016</v>
      </c>
      <c r="J720" s="6" t="s">
        <v>842</v>
      </c>
      <c r="K720" s="61"/>
      <c r="L720" s="12">
        <f>0.1016*255.26*117.5809</f>
        <v>3049.3919742543999</v>
      </c>
      <c r="M720" s="12">
        <f>L720*0.3</f>
        <v>914.81759227631994</v>
      </c>
    </row>
    <row r="721" spans="1:13" x14ac:dyDescent="0.25">
      <c r="A721" s="5"/>
      <c r="B721" s="6"/>
      <c r="C721" s="6"/>
      <c r="D721" s="6"/>
      <c r="E721" s="6"/>
      <c r="F721" s="6"/>
      <c r="G721" s="5"/>
      <c r="H721" s="13" t="s">
        <v>25</v>
      </c>
      <c r="I721" s="7">
        <f>+SUM(I719:I720)</f>
        <v>2039</v>
      </c>
      <c r="J721" s="6"/>
      <c r="K721" s="62"/>
      <c r="L721" s="25">
        <f>SUM(L719:L720)</f>
        <v>6119.7935388825999</v>
      </c>
      <c r="M721" s="25">
        <f>SUM(M719:M720)</f>
        <v>1835.93806166478</v>
      </c>
    </row>
    <row r="722" spans="1:13" ht="22.5" x14ac:dyDescent="0.25">
      <c r="A722" s="5" t="s">
        <v>692</v>
      </c>
      <c r="B722" s="6" t="s">
        <v>715</v>
      </c>
      <c r="C722" s="6" t="s">
        <v>15</v>
      </c>
      <c r="D722" s="6" t="s">
        <v>16</v>
      </c>
      <c r="E722" s="6" t="s">
        <v>3</v>
      </c>
      <c r="F722" s="6" t="s">
        <v>17</v>
      </c>
      <c r="G722" s="5" t="s">
        <v>844</v>
      </c>
      <c r="H722" s="6" t="s">
        <v>28</v>
      </c>
      <c r="I722" s="7">
        <v>233</v>
      </c>
      <c r="J722" s="6" t="s">
        <v>845</v>
      </c>
      <c r="K722" s="60">
        <v>30</v>
      </c>
      <c r="L722" s="20">
        <f>0.0233*255.26*117.5809</f>
        <v>699.31922244220004</v>
      </c>
      <c r="M722" s="20">
        <f>L722*0.3</f>
        <v>209.79576673266001</v>
      </c>
    </row>
    <row r="723" spans="1:13" ht="22.5" x14ac:dyDescent="0.25">
      <c r="A723" s="5" t="s">
        <v>692</v>
      </c>
      <c r="B723" s="6" t="s">
        <v>715</v>
      </c>
      <c r="C723" s="6" t="s">
        <v>15</v>
      </c>
      <c r="D723" s="6" t="s">
        <v>16</v>
      </c>
      <c r="E723" s="6" t="s">
        <v>3</v>
      </c>
      <c r="F723" s="6" t="s">
        <v>17</v>
      </c>
      <c r="G723" s="5" t="s">
        <v>846</v>
      </c>
      <c r="H723" s="6" t="s">
        <v>28</v>
      </c>
      <c r="I723" s="7">
        <v>282</v>
      </c>
      <c r="J723" s="6" t="s">
        <v>845</v>
      </c>
      <c r="K723" s="61"/>
      <c r="L723" s="21">
        <f>0.0282*255.26*117.5809</f>
        <v>846.38635505879995</v>
      </c>
      <c r="M723" s="21">
        <f>L723*0.3</f>
        <v>253.91590651763997</v>
      </c>
    </row>
    <row r="724" spans="1:13" ht="22.5" x14ac:dyDescent="0.25">
      <c r="A724" s="5" t="s">
        <v>692</v>
      </c>
      <c r="B724" s="6" t="s">
        <v>715</v>
      </c>
      <c r="C724" s="6" t="s">
        <v>15</v>
      </c>
      <c r="D724" s="6" t="s">
        <v>16</v>
      </c>
      <c r="E724" s="6" t="s">
        <v>3</v>
      </c>
      <c r="F724" s="6" t="s">
        <v>17</v>
      </c>
      <c r="G724" s="5" t="s">
        <v>847</v>
      </c>
      <c r="H724" s="6" t="s">
        <v>28</v>
      </c>
      <c r="I724" s="7">
        <v>198</v>
      </c>
      <c r="J724" s="6" t="s">
        <v>845</v>
      </c>
      <c r="K724" s="61"/>
      <c r="L724" s="20">
        <f>0.0198*255.26*117.5809</f>
        <v>594.27127057320001</v>
      </c>
      <c r="M724" s="20">
        <f>L724*0.3</f>
        <v>178.28138117195999</v>
      </c>
    </row>
    <row r="725" spans="1:13" ht="22.5" x14ac:dyDescent="0.25">
      <c r="A725" s="5" t="s">
        <v>692</v>
      </c>
      <c r="B725" s="6" t="s">
        <v>715</v>
      </c>
      <c r="C725" s="6" t="s">
        <v>15</v>
      </c>
      <c r="D725" s="6" t="s">
        <v>16</v>
      </c>
      <c r="E725" s="6" t="s">
        <v>3</v>
      </c>
      <c r="F725" s="6" t="s">
        <v>17</v>
      </c>
      <c r="G725" s="5" t="s">
        <v>848</v>
      </c>
      <c r="H725" s="6" t="s">
        <v>28</v>
      </c>
      <c r="I725" s="7">
        <v>189</v>
      </c>
      <c r="J725" s="6" t="s">
        <v>845</v>
      </c>
      <c r="K725" s="61"/>
      <c r="L725" s="21">
        <f>0.0189*255.26*117.5809</f>
        <v>567.25894009260003</v>
      </c>
      <c r="M725" s="21">
        <f>L725*0.3</f>
        <v>170.17768202778001</v>
      </c>
    </row>
    <row r="726" spans="1:13" x14ac:dyDescent="0.25">
      <c r="A726" s="5"/>
      <c r="B726" s="6"/>
      <c r="C726" s="6"/>
      <c r="D726" s="6"/>
      <c r="E726" s="6"/>
      <c r="F726" s="6"/>
      <c r="G726" s="5"/>
      <c r="H726" s="13" t="s">
        <v>25</v>
      </c>
      <c r="I726" s="7">
        <f>+SUM(I722:I725)</f>
        <v>902</v>
      </c>
      <c r="J726" s="6"/>
      <c r="K726" s="62"/>
      <c r="L726" s="38">
        <f>SUM(L722:L725)</f>
        <v>2707.2357881667999</v>
      </c>
      <c r="M726" s="38">
        <f>SUM(M722:M725)</f>
        <v>812.17073645004007</v>
      </c>
    </row>
    <row r="727" spans="1:13" ht="22.5" x14ac:dyDescent="0.25">
      <c r="A727" s="5" t="s">
        <v>692</v>
      </c>
      <c r="B727" s="6" t="s">
        <v>715</v>
      </c>
      <c r="C727" s="6" t="s">
        <v>15</v>
      </c>
      <c r="D727" s="6" t="s">
        <v>16</v>
      </c>
      <c r="E727" s="6" t="s">
        <v>3</v>
      </c>
      <c r="F727" s="6" t="s">
        <v>17</v>
      </c>
      <c r="G727" s="5" t="s">
        <v>849</v>
      </c>
      <c r="H727" s="6" t="s">
        <v>28</v>
      </c>
      <c r="I727" s="7">
        <v>426</v>
      </c>
      <c r="J727" s="6" t="s">
        <v>850</v>
      </c>
      <c r="K727" s="60">
        <v>31</v>
      </c>
      <c r="L727" s="21">
        <f>0.0426*255.26*117.5809</f>
        <v>1278.5836427483998</v>
      </c>
      <c r="M727" s="21">
        <f>L727*0.3</f>
        <v>383.57509282451991</v>
      </c>
    </row>
    <row r="728" spans="1:13" ht="22.5" x14ac:dyDescent="0.25">
      <c r="A728" s="5" t="s">
        <v>692</v>
      </c>
      <c r="B728" s="6" t="s">
        <v>715</v>
      </c>
      <c r="C728" s="6" t="s">
        <v>15</v>
      </c>
      <c r="D728" s="6" t="s">
        <v>16</v>
      </c>
      <c r="E728" s="6" t="s">
        <v>3</v>
      </c>
      <c r="F728" s="6" t="s">
        <v>17</v>
      </c>
      <c r="G728" s="5" t="s">
        <v>851</v>
      </c>
      <c r="H728" s="6" t="s">
        <v>28</v>
      </c>
      <c r="I728" s="7">
        <v>762</v>
      </c>
      <c r="J728" s="6" t="s">
        <v>845</v>
      </c>
      <c r="K728" s="61"/>
      <c r="L728" s="20">
        <f>0.0762*255.26*117.5809</f>
        <v>2287.0439806907998</v>
      </c>
      <c r="M728" s="20">
        <f>L728*0.3</f>
        <v>686.11319420723987</v>
      </c>
    </row>
    <row r="729" spans="1:13" ht="22.5" x14ac:dyDescent="0.25">
      <c r="A729" s="5" t="s">
        <v>692</v>
      </c>
      <c r="B729" s="6" t="s">
        <v>715</v>
      </c>
      <c r="C729" s="6" t="s">
        <v>15</v>
      </c>
      <c r="D729" s="6" t="s">
        <v>16</v>
      </c>
      <c r="E729" s="6" t="s">
        <v>3</v>
      </c>
      <c r="F729" s="6" t="s">
        <v>17</v>
      </c>
      <c r="G729" s="5" t="s">
        <v>852</v>
      </c>
      <c r="H729" s="6" t="s">
        <v>28</v>
      </c>
      <c r="I729" s="7">
        <v>44</v>
      </c>
      <c r="J729" s="6" t="s">
        <v>850</v>
      </c>
      <c r="K729" s="61"/>
      <c r="L729" s="21">
        <f>0.0044*255.26*117.5809</f>
        <v>132.06028234959999</v>
      </c>
      <c r="M729" s="21">
        <f>L729*0.3</f>
        <v>39.618084704879998</v>
      </c>
    </row>
    <row r="730" spans="1:13" ht="22.5" x14ac:dyDescent="0.25">
      <c r="A730" s="5" t="s">
        <v>692</v>
      </c>
      <c r="B730" s="6" t="s">
        <v>715</v>
      </c>
      <c r="C730" s="6" t="s">
        <v>15</v>
      </c>
      <c r="D730" s="6" t="s">
        <v>16</v>
      </c>
      <c r="E730" s="6" t="s">
        <v>3</v>
      </c>
      <c r="F730" s="6" t="s">
        <v>17</v>
      </c>
      <c r="G730" s="5" t="s">
        <v>853</v>
      </c>
      <c r="H730" s="6" t="s">
        <v>28</v>
      </c>
      <c r="I730" s="7">
        <v>668</v>
      </c>
      <c r="J730" s="6" t="s">
        <v>850</v>
      </c>
      <c r="K730" s="61"/>
      <c r="L730" s="20">
        <f>0.0668*255.26*117.5809</f>
        <v>2004.9151956712001</v>
      </c>
      <c r="M730" s="20">
        <f>L730*0.3</f>
        <v>601.47455870136002</v>
      </c>
    </row>
    <row r="731" spans="1:13" ht="22.5" x14ac:dyDescent="0.25">
      <c r="A731" s="5" t="s">
        <v>692</v>
      </c>
      <c r="B731" s="6" t="s">
        <v>715</v>
      </c>
      <c r="C731" s="6" t="s">
        <v>15</v>
      </c>
      <c r="D731" s="6" t="s">
        <v>16</v>
      </c>
      <c r="E731" s="6" t="s">
        <v>3</v>
      </c>
      <c r="F731" s="6" t="s">
        <v>17</v>
      </c>
      <c r="G731" s="5" t="s">
        <v>854</v>
      </c>
      <c r="H731" s="6" t="s">
        <v>28</v>
      </c>
      <c r="I731" s="7">
        <v>217</v>
      </c>
      <c r="J731" s="6" t="s">
        <v>850</v>
      </c>
      <c r="K731" s="61"/>
      <c r="L731" s="21">
        <f>0.0217*255.26*117.5809</f>
        <v>651.29730158780001</v>
      </c>
      <c r="M731" s="21">
        <f>L731*0.3</f>
        <v>195.38919047633999</v>
      </c>
    </row>
    <row r="732" spans="1:13" x14ac:dyDescent="0.25">
      <c r="A732" s="5"/>
      <c r="B732" s="6"/>
      <c r="C732" s="6"/>
      <c r="D732" s="6"/>
      <c r="E732" s="6"/>
      <c r="F732" s="6"/>
      <c r="G732" s="5"/>
      <c r="H732" s="13" t="s">
        <v>25</v>
      </c>
      <c r="I732" s="7">
        <f>+SUM(I727:I731)</f>
        <v>2117</v>
      </c>
      <c r="J732" s="6"/>
      <c r="K732" s="62"/>
      <c r="L732" s="38">
        <f>SUM(L727:L731)</f>
        <v>6353.9004030478</v>
      </c>
      <c r="M732" s="38">
        <f>SUM(M727:M731)</f>
        <v>1906.1701209143398</v>
      </c>
    </row>
    <row r="733" spans="1:13" ht="22.5" x14ac:dyDescent="0.25">
      <c r="A733" s="5" t="s">
        <v>692</v>
      </c>
      <c r="B733" s="6" t="s">
        <v>715</v>
      </c>
      <c r="C733" s="6" t="s">
        <v>15</v>
      </c>
      <c r="D733" s="6" t="s">
        <v>16</v>
      </c>
      <c r="E733" s="6" t="s">
        <v>3</v>
      </c>
      <c r="F733" s="6" t="s">
        <v>17</v>
      </c>
      <c r="G733" s="5" t="s">
        <v>855</v>
      </c>
      <c r="H733" s="6" t="s">
        <v>28</v>
      </c>
      <c r="I733" s="7">
        <v>1244</v>
      </c>
      <c r="J733" s="6" t="s">
        <v>845</v>
      </c>
      <c r="K733" s="24">
        <v>32</v>
      </c>
      <c r="L733" s="22">
        <f>0.1244*255.26*117.5809</f>
        <v>3733.7043464295998</v>
      </c>
      <c r="M733" s="22">
        <f t="shared" ref="M733:M739" si="44">L733*0.3</f>
        <v>1120.1113039288798</v>
      </c>
    </row>
    <row r="734" spans="1:13" ht="22.5" x14ac:dyDescent="0.25">
      <c r="A734" s="5" t="s">
        <v>692</v>
      </c>
      <c r="B734" s="6" t="s">
        <v>856</v>
      </c>
      <c r="C734" s="6" t="s">
        <v>15</v>
      </c>
      <c r="D734" s="6" t="s">
        <v>16</v>
      </c>
      <c r="E734" s="6" t="s">
        <v>3</v>
      </c>
      <c r="F734" s="6" t="s">
        <v>17</v>
      </c>
      <c r="G734" s="5" t="s">
        <v>857</v>
      </c>
      <c r="H734" s="6" t="s">
        <v>179</v>
      </c>
      <c r="I734" s="7">
        <v>1475</v>
      </c>
      <c r="J734" s="6" t="s">
        <v>858</v>
      </c>
      <c r="K734" s="24">
        <v>33</v>
      </c>
      <c r="L734" s="19">
        <f>0.1475*280.51*117.5809</f>
        <v>4864.9361932024995</v>
      </c>
      <c r="M734" s="19">
        <f t="shared" si="44"/>
        <v>1459.4808579607497</v>
      </c>
    </row>
    <row r="735" spans="1:13" ht="22.5" x14ac:dyDescent="0.25">
      <c r="A735" s="5" t="s">
        <v>692</v>
      </c>
      <c r="B735" s="6" t="s">
        <v>715</v>
      </c>
      <c r="C735" s="6" t="s">
        <v>15</v>
      </c>
      <c r="D735" s="6" t="s">
        <v>16</v>
      </c>
      <c r="E735" s="6" t="s">
        <v>3</v>
      </c>
      <c r="F735" s="6" t="s">
        <v>17</v>
      </c>
      <c r="G735" s="5" t="s">
        <v>859</v>
      </c>
      <c r="H735" s="6" t="s">
        <v>28</v>
      </c>
      <c r="I735" s="7">
        <v>4158</v>
      </c>
      <c r="J735" s="6" t="s">
        <v>831</v>
      </c>
      <c r="K735" s="24">
        <v>34</v>
      </c>
      <c r="L735" s="22">
        <f>0.4158*255.26*117.5809</f>
        <v>12479.6966820372</v>
      </c>
      <c r="M735" s="22">
        <f t="shared" si="44"/>
        <v>3743.9090046111596</v>
      </c>
    </row>
    <row r="736" spans="1:13" ht="45" x14ac:dyDescent="0.25">
      <c r="A736" s="5" t="s">
        <v>692</v>
      </c>
      <c r="B736" s="6" t="s">
        <v>715</v>
      </c>
      <c r="C736" s="6" t="s">
        <v>15</v>
      </c>
      <c r="D736" s="6" t="s">
        <v>16</v>
      </c>
      <c r="E736" s="6" t="s">
        <v>3</v>
      </c>
      <c r="F736" s="6" t="s">
        <v>17</v>
      </c>
      <c r="G736" s="5" t="s">
        <v>860</v>
      </c>
      <c r="H736" s="6" t="s">
        <v>28</v>
      </c>
      <c r="I736" s="7">
        <v>11499</v>
      </c>
      <c r="J736" s="6" t="s">
        <v>835</v>
      </c>
      <c r="K736" s="60">
        <v>35</v>
      </c>
      <c r="L736" s="21">
        <f>1.1499*255.26*117.5809</f>
        <v>34512.754244046599</v>
      </c>
      <c r="M736" s="21">
        <f t="shared" si="44"/>
        <v>10353.826273213979</v>
      </c>
    </row>
    <row r="737" spans="1:13" ht="45" x14ac:dyDescent="0.25">
      <c r="A737" s="5" t="s">
        <v>692</v>
      </c>
      <c r="B737" s="6" t="s">
        <v>715</v>
      </c>
      <c r="C737" s="6" t="s">
        <v>15</v>
      </c>
      <c r="D737" s="6" t="s">
        <v>16</v>
      </c>
      <c r="E737" s="6" t="s">
        <v>3</v>
      </c>
      <c r="F737" s="6" t="s">
        <v>17</v>
      </c>
      <c r="G737" s="5" t="s">
        <v>861</v>
      </c>
      <c r="H737" s="6" t="s">
        <v>28</v>
      </c>
      <c r="I737" s="7">
        <v>11299</v>
      </c>
      <c r="J737" s="6" t="s">
        <v>835</v>
      </c>
      <c r="K737" s="61"/>
      <c r="L737" s="20">
        <f>1.1299*255.26*117.5809</f>
        <v>33912.480233366594</v>
      </c>
      <c r="M737" s="20">
        <f t="shared" si="44"/>
        <v>10173.744070009978</v>
      </c>
    </row>
    <row r="738" spans="1:13" ht="45" x14ac:dyDescent="0.25">
      <c r="A738" s="5" t="s">
        <v>692</v>
      </c>
      <c r="B738" s="6" t="s">
        <v>715</v>
      </c>
      <c r="C738" s="6" t="s">
        <v>15</v>
      </c>
      <c r="D738" s="6" t="s">
        <v>16</v>
      </c>
      <c r="E738" s="6" t="s">
        <v>3</v>
      </c>
      <c r="F738" s="6" t="s">
        <v>17</v>
      </c>
      <c r="G738" s="5" t="s">
        <v>862</v>
      </c>
      <c r="H738" s="6" t="s">
        <v>28</v>
      </c>
      <c r="I738" s="7">
        <v>1620</v>
      </c>
      <c r="J738" s="6" t="s">
        <v>835</v>
      </c>
      <c r="K738" s="61"/>
      <c r="L738" s="21">
        <f>0.162*255.26*117.5809</f>
        <v>4862.219486508</v>
      </c>
      <c r="M738" s="21">
        <f t="shared" si="44"/>
        <v>1458.6658459523999</v>
      </c>
    </row>
    <row r="739" spans="1:13" ht="45" x14ac:dyDescent="0.25">
      <c r="A739" s="5" t="s">
        <v>692</v>
      </c>
      <c r="B739" s="6" t="s">
        <v>715</v>
      </c>
      <c r="C739" s="6" t="s">
        <v>15</v>
      </c>
      <c r="D739" s="6" t="s">
        <v>16</v>
      </c>
      <c r="E739" s="6" t="s">
        <v>3</v>
      </c>
      <c r="F739" s="6" t="s">
        <v>17</v>
      </c>
      <c r="G739" s="5" t="s">
        <v>863</v>
      </c>
      <c r="H739" s="6" t="s">
        <v>28</v>
      </c>
      <c r="I739" s="7">
        <v>1391</v>
      </c>
      <c r="J739" s="6" t="s">
        <v>835</v>
      </c>
      <c r="K739" s="61"/>
      <c r="L739" s="20">
        <f>0.1391*255.26*117.5809</f>
        <v>4174.9057442793992</v>
      </c>
      <c r="M739" s="20">
        <f t="shared" si="44"/>
        <v>1252.4717232838198</v>
      </c>
    </row>
    <row r="740" spans="1:13" x14ac:dyDescent="0.25">
      <c r="A740" s="5"/>
      <c r="B740" s="6"/>
      <c r="C740" s="6"/>
      <c r="D740" s="6"/>
      <c r="E740" s="6"/>
      <c r="F740" s="6"/>
      <c r="G740" s="5"/>
      <c r="H740" s="13" t="s">
        <v>25</v>
      </c>
      <c r="I740" s="7">
        <f>+SUM(I736:I739)</f>
        <v>25809</v>
      </c>
      <c r="J740" s="6"/>
      <c r="K740" s="62"/>
      <c r="L740" s="37">
        <f>SUM(L736:L739)</f>
        <v>77462.359708200587</v>
      </c>
      <c r="M740" s="37">
        <f>SUM(M736:M739)</f>
        <v>23238.707912460177</v>
      </c>
    </row>
    <row r="741" spans="1:13" ht="45" x14ac:dyDescent="0.25">
      <c r="A741" s="5" t="s">
        <v>692</v>
      </c>
      <c r="B741" s="6" t="s">
        <v>715</v>
      </c>
      <c r="C741" s="6" t="s">
        <v>15</v>
      </c>
      <c r="D741" s="6" t="s">
        <v>16</v>
      </c>
      <c r="E741" s="6" t="s">
        <v>3</v>
      </c>
      <c r="F741" s="6" t="s">
        <v>17</v>
      </c>
      <c r="G741" s="5" t="s">
        <v>864</v>
      </c>
      <c r="H741" s="6" t="s">
        <v>28</v>
      </c>
      <c r="I741" s="7">
        <v>1112</v>
      </c>
      <c r="J741" s="6" t="s">
        <v>835</v>
      </c>
      <c r="K741" s="24">
        <v>36</v>
      </c>
      <c r="L741" s="9">
        <f>0.1112*255.26*117.5809</f>
        <v>3337.5234993807994</v>
      </c>
      <c r="M741" s="9">
        <f>L741*0.3</f>
        <v>1001.2570498142397</v>
      </c>
    </row>
    <row r="742" spans="1:13" ht="45" x14ac:dyDescent="0.25">
      <c r="A742" s="5" t="s">
        <v>692</v>
      </c>
      <c r="B742" s="6" t="s">
        <v>715</v>
      </c>
      <c r="C742" s="6" t="s">
        <v>15</v>
      </c>
      <c r="D742" s="6" t="s">
        <v>16</v>
      </c>
      <c r="E742" s="6" t="s">
        <v>3</v>
      </c>
      <c r="F742" s="6" t="s">
        <v>17</v>
      </c>
      <c r="G742" s="5" t="s">
        <v>865</v>
      </c>
      <c r="H742" s="6" t="s">
        <v>28</v>
      </c>
      <c r="I742" s="7">
        <v>3303</v>
      </c>
      <c r="J742" s="6" t="s">
        <v>835</v>
      </c>
      <c r="K742" s="60">
        <v>37</v>
      </c>
      <c r="L742" s="21">
        <f>0.3303*255.26*117.5809</f>
        <v>9913.5252863801998</v>
      </c>
      <c r="M742" s="21">
        <f>L742*0.3</f>
        <v>2974.0575859140599</v>
      </c>
    </row>
    <row r="743" spans="1:13" ht="45" x14ac:dyDescent="0.25">
      <c r="A743" s="5" t="s">
        <v>692</v>
      </c>
      <c r="B743" s="6" t="s">
        <v>715</v>
      </c>
      <c r="C743" s="6" t="s">
        <v>15</v>
      </c>
      <c r="D743" s="6" t="s">
        <v>16</v>
      </c>
      <c r="E743" s="6" t="s">
        <v>3</v>
      </c>
      <c r="F743" s="6" t="s">
        <v>17</v>
      </c>
      <c r="G743" s="5" t="s">
        <v>866</v>
      </c>
      <c r="H743" s="6" t="s">
        <v>28</v>
      </c>
      <c r="I743" s="7">
        <v>2642</v>
      </c>
      <c r="J743" s="6" t="s">
        <v>835</v>
      </c>
      <c r="K743" s="61"/>
      <c r="L743" s="20">
        <f>0.2642*255.26*117.5809</f>
        <v>7929.6196810827996</v>
      </c>
      <c r="M743" s="20">
        <f>L743*0.3</f>
        <v>2378.8859043248399</v>
      </c>
    </row>
    <row r="744" spans="1:13" x14ac:dyDescent="0.25">
      <c r="A744" s="5"/>
      <c r="B744" s="6"/>
      <c r="C744" s="6"/>
      <c r="D744" s="6"/>
      <c r="E744" s="6"/>
      <c r="F744" s="6"/>
      <c r="G744" s="5"/>
      <c r="H744" s="13" t="s">
        <v>25</v>
      </c>
      <c r="I744" s="7">
        <f>+SUM(I742:I743)</f>
        <v>5945</v>
      </c>
      <c r="J744" s="6"/>
      <c r="K744" s="62"/>
      <c r="L744" s="37">
        <f>SUM(L742:L743)</f>
        <v>17843.144967462998</v>
      </c>
      <c r="M744" s="37">
        <f>SUM(M742:M743)</f>
        <v>5352.9434902389003</v>
      </c>
    </row>
    <row r="745" spans="1:13" ht="22.5" x14ac:dyDescent="0.25">
      <c r="A745" s="5" t="s">
        <v>692</v>
      </c>
      <c r="B745" s="6" t="s">
        <v>715</v>
      </c>
      <c r="C745" s="6" t="s">
        <v>15</v>
      </c>
      <c r="D745" s="6" t="s">
        <v>16</v>
      </c>
      <c r="E745" s="6" t="s">
        <v>3</v>
      </c>
      <c r="F745" s="6" t="s">
        <v>17</v>
      </c>
      <c r="G745" s="5" t="s">
        <v>867</v>
      </c>
      <c r="H745" s="6" t="s">
        <v>24</v>
      </c>
      <c r="I745" s="7">
        <v>4374</v>
      </c>
      <c r="J745" s="6" t="s">
        <v>831</v>
      </c>
      <c r="K745" s="60">
        <v>38</v>
      </c>
      <c r="L745" s="12">
        <f>0.4374*227.21*117.5809</f>
        <v>11685.384320808602</v>
      </c>
      <c r="M745" s="12">
        <f>L745*0.3</f>
        <v>3505.6152962425804</v>
      </c>
    </row>
    <row r="746" spans="1:13" ht="22.5" x14ac:dyDescent="0.25">
      <c r="A746" s="5" t="s">
        <v>692</v>
      </c>
      <c r="B746" s="6" t="s">
        <v>715</v>
      </c>
      <c r="C746" s="6" t="s">
        <v>15</v>
      </c>
      <c r="D746" s="6" t="s">
        <v>16</v>
      </c>
      <c r="E746" s="6" t="s">
        <v>3</v>
      </c>
      <c r="F746" s="6" t="s">
        <v>17</v>
      </c>
      <c r="G746" s="5" t="s">
        <v>868</v>
      </c>
      <c r="H746" s="6" t="s">
        <v>24</v>
      </c>
      <c r="I746" s="7">
        <v>14</v>
      </c>
      <c r="J746" s="6" t="s">
        <v>831</v>
      </c>
      <c r="K746" s="61"/>
      <c r="L746" s="16">
        <f>0.0014*227.21*117.5809</f>
        <v>37.401778804599999</v>
      </c>
      <c r="M746" s="16">
        <f>L746*0.3</f>
        <v>11.220533641379999</v>
      </c>
    </row>
    <row r="747" spans="1:13" x14ac:dyDescent="0.25">
      <c r="A747" s="5"/>
      <c r="B747" s="6"/>
      <c r="C747" s="6"/>
      <c r="D747" s="6"/>
      <c r="E747" s="6"/>
      <c r="F747" s="6"/>
      <c r="G747" s="5"/>
      <c r="H747" s="13" t="s">
        <v>25</v>
      </c>
      <c r="I747" s="7">
        <f>+SUM(I745:I746)</f>
        <v>4388</v>
      </c>
      <c r="J747" s="6"/>
      <c r="K747" s="62"/>
      <c r="L747" s="9">
        <f>SUM(L745:L746)</f>
        <v>11722.786099613202</v>
      </c>
      <c r="M747" s="9">
        <f>SUM(M745:M746)</f>
        <v>3516.8358298839603</v>
      </c>
    </row>
    <row r="748" spans="1:13" ht="22.5" x14ac:dyDescent="0.25">
      <c r="A748" s="5" t="s">
        <v>692</v>
      </c>
      <c r="B748" s="6" t="s">
        <v>715</v>
      </c>
      <c r="C748" s="6" t="s">
        <v>15</v>
      </c>
      <c r="D748" s="6" t="s">
        <v>16</v>
      </c>
      <c r="E748" s="6" t="s">
        <v>3</v>
      </c>
      <c r="F748" s="6" t="s">
        <v>17</v>
      </c>
      <c r="G748" s="5" t="s">
        <v>869</v>
      </c>
      <c r="H748" s="6" t="s">
        <v>19</v>
      </c>
      <c r="I748" s="7">
        <v>680</v>
      </c>
      <c r="J748" s="6" t="s">
        <v>719</v>
      </c>
      <c r="K748" s="24">
        <v>39</v>
      </c>
      <c r="L748" s="19">
        <f>0.068*68.16*117.5809</f>
        <v>544.97336179199999</v>
      </c>
      <c r="M748" s="19">
        <f>L748*0.3</f>
        <v>163.49200853759999</v>
      </c>
    </row>
    <row r="749" spans="1:13" ht="22.5" x14ac:dyDescent="0.25">
      <c r="A749" s="5" t="s">
        <v>692</v>
      </c>
      <c r="B749" s="6" t="s">
        <v>715</v>
      </c>
      <c r="C749" s="6" t="s">
        <v>15</v>
      </c>
      <c r="D749" s="6" t="s">
        <v>16</v>
      </c>
      <c r="E749" s="6" t="s">
        <v>3</v>
      </c>
      <c r="F749" s="6" t="s">
        <v>17</v>
      </c>
      <c r="G749" s="5" t="s">
        <v>870</v>
      </c>
      <c r="H749" s="6" t="s">
        <v>19</v>
      </c>
      <c r="I749" s="7">
        <v>4171</v>
      </c>
      <c r="J749" s="6" t="s">
        <v>719</v>
      </c>
      <c r="K749" s="60">
        <v>40</v>
      </c>
      <c r="L749" s="20">
        <f>0.4171*68.16*117.5809</f>
        <v>3342.7704294624</v>
      </c>
      <c r="M749" s="20">
        <f>L749*0.3</f>
        <v>1002.8311288387199</v>
      </c>
    </row>
    <row r="750" spans="1:13" ht="22.5" x14ac:dyDescent="0.25">
      <c r="A750" s="5" t="s">
        <v>692</v>
      </c>
      <c r="B750" s="6" t="s">
        <v>715</v>
      </c>
      <c r="C750" s="6" t="s">
        <v>15</v>
      </c>
      <c r="D750" s="6" t="s">
        <v>16</v>
      </c>
      <c r="E750" s="6" t="s">
        <v>3</v>
      </c>
      <c r="F750" s="6" t="s">
        <v>17</v>
      </c>
      <c r="G750" s="5" t="s">
        <v>871</v>
      </c>
      <c r="H750" s="6" t="s">
        <v>19</v>
      </c>
      <c r="I750" s="7">
        <v>250</v>
      </c>
      <c r="J750" s="6" t="s">
        <v>719</v>
      </c>
      <c r="K750" s="61"/>
      <c r="L750" s="21">
        <f>0.025*68.16*117.5809</f>
        <v>200.3578536</v>
      </c>
      <c r="M750" s="21">
        <f>L750*0.3</f>
        <v>60.107356079999995</v>
      </c>
    </row>
    <row r="751" spans="1:13" x14ac:dyDescent="0.25">
      <c r="A751" s="5"/>
      <c r="B751" s="6"/>
      <c r="C751" s="6"/>
      <c r="D751" s="6"/>
      <c r="E751" s="6"/>
      <c r="F751" s="6"/>
      <c r="G751" s="5"/>
      <c r="H751" s="13" t="s">
        <v>25</v>
      </c>
      <c r="I751" s="7">
        <f>+SUM(I749:I750)</f>
        <v>4421</v>
      </c>
      <c r="J751" s="6"/>
      <c r="K751" s="62"/>
      <c r="L751" s="38">
        <f>SUM(L749:L750)</f>
        <v>3543.1282830624</v>
      </c>
      <c r="M751" s="38">
        <f>SUM(M749:M750)</f>
        <v>1062.93848491872</v>
      </c>
    </row>
    <row r="752" spans="1:13" ht="22.5" x14ac:dyDescent="0.25">
      <c r="A752" s="5" t="s">
        <v>692</v>
      </c>
      <c r="B752" s="6" t="s">
        <v>715</v>
      </c>
      <c r="C752" s="6" t="s">
        <v>15</v>
      </c>
      <c r="D752" s="6" t="s">
        <v>16</v>
      </c>
      <c r="E752" s="6" t="s">
        <v>3</v>
      </c>
      <c r="F752" s="6" t="s">
        <v>17</v>
      </c>
      <c r="G752" s="5" t="s">
        <v>872</v>
      </c>
      <c r="H752" s="6" t="s">
        <v>179</v>
      </c>
      <c r="I752" s="7">
        <v>1846</v>
      </c>
      <c r="J752" s="6" t="s">
        <v>798</v>
      </c>
      <c r="K752" s="60">
        <v>41</v>
      </c>
      <c r="L752" s="21">
        <f>0.1846*280.51*117.5809</f>
        <v>6088.5913306113998</v>
      </c>
      <c r="M752" s="21">
        <f>L752*0.3</f>
        <v>1826.5773991834199</v>
      </c>
    </row>
    <row r="753" spans="1:13" ht="22.5" x14ac:dyDescent="0.25">
      <c r="A753" s="5" t="s">
        <v>692</v>
      </c>
      <c r="B753" s="6" t="s">
        <v>715</v>
      </c>
      <c r="C753" s="6" t="s">
        <v>15</v>
      </c>
      <c r="D753" s="6" t="s">
        <v>16</v>
      </c>
      <c r="E753" s="6" t="s">
        <v>3</v>
      </c>
      <c r="F753" s="6" t="s">
        <v>17</v>
      </c>
      <c r="G753" s="5" t="s">
        <v>873</v>
      </c>
      <c r="H753" s="6" t="s">
        <v>179</v>
      </c>
      <c r="I753" s="7">
        <v>488</v>
      </c>
      <c r="J753" s="6" t="s">
        <v>798</v>
      </c>
      <c r="K753" s="61"/>
      <c r="L753" s="20">
        <f>0.0488*280.51*117.5809</f>
        <v>1609.5517710392</v>
      </c>
      <c r="M753" s="20">
        <f>L753*0.3</f>
        <v>482.86553131175998</v>
      </c>
    </row>
    <row r="754" spans="1:13" x14ac:dyDescent="0.25">
      <c r="A754" s="5"/>
      <c r="B754" s="6"/>
      <c r="C754" s="6"/>
      <c r="D754" s="6"/>
      <c r="E754" s="6"/>
      <c r="F754" s="6"/>
      <c r="G754" s="5"/>
      <c r="H754" s="13" t="s">
        <v>25</v>
      </c>
      <c r="I754" s="7">
        <f>+SUM(I752:I753)</f>
        <v>2334</v>
      </c>
      <c r="J754" s="6"/>
      <c r="K754" s="62"/>
      <c r="L754" s="37">
        <f>SUM(L752:L753)</f>
        <v>7698.1431016505994</v>
      </c>
      <c r="M754" s="37">
        <f>SUM(M752:M753)</f>
        <v>2309.44293049518</v>
      </c>
    </row>
    <row r="755" spans="1:13" ht="22.5" x14ac:dyDescent="0.25">
      <c r="A755" s="5" t="s">
        <v>692</v>
      </c>
      <c r="B755" s="6" t="s">
        <v>715</v>
      </c>
      <c r="C755" s="6" t="s">
        <v>15</v>
      </c>
      <c r="D755" s="6" t="s">
        <v>16</v>
      </c>
      <c r="E755" s="6" t="s">
        <v>3</v>
      </c>
      <c r="F755" s="6" t="s">
        <v>17</v>
      </c>
      <c r="G755" s="5" t="s">
        <v>874</v>
      </c>
      <c r="H755" s="6" t="s">
        <v>179</v>
      </c>
      <c r="I755" s="7">
        <v>18969</v>
      </c>
      <c r="J755" s="6" t="s">
        <v>875</v>
      </c>
      <c r="K755" s="24">
        <v>42</v>
      </c>
      <c r="L755" s="9">
        <f>1.8969*280.51*117.5809</f>
        <v>62564.728575497102</v>
      </c>
      <c r="M755" s="9">
        <f t="shared" ref="M755:M762" si="45">L755*0.3</f>
        <v>18769.418572649131</v>
      </c>
    </row>
    <row r="756" spans="1:13" ht="22.5" x14ac:dyDescent="0.25">
      <c r="A756" s="5" t="s">
        <v>692</v>
      </c>
      <c r="B756" s="6" t="s">
        <v>715</v>
      </c>
      <c r="C756" s="6" t="s">
        <v>15</v>
      </c>
      <c r="D756" s="6" t="s">
        <v>16</v>
      </c>
      <c r="E756" s="6" t="s">
        <v>3</v>
      </c>
      <c r="F756" s="6" t="s">
        <v>17</v>
      </c>
      <c r="G756" s="5" t="s">
        <v>876</v>
      </c>
      <c r="H756" s="6" t="s">
        <v>28</v>
      </c>
      <c r="I756" s="7">
        <v>1181</v>
      </c>
      <c r="J756" s="6" t="s">
        <v>719</v>
      </c>
      <c r="K756" s="60">
        <v>43</v>
      </c>
      <c r="L756" s="21">
        <f>0.1181*255.26*117.5809</f>
        <v>3544.6180330654001</v>
      </c>
      <c r="M756" s="21">
        <f t="shared" si="45"/>
        <v>1063.3854099196201</v>
      </c>
    </row>
    <row r="757" spans="1:13" ht="22.5" x14ac:dyDescent="0.25">
      <c r="A757" s="5" t="s">
        <v>692</v>
      </c>
      <c r="B757" s="6" t="s">
        <v>715</v>
      </c>
      <c r="C757" s="6" t="s">
        <v>15</v>
      </c>
      <c r="D757" s="6" t="s">
        <v>16</v>
      </c>
      <c r="E757" s="6" t="s">
        <v>3</v>
      </c>
      <c r="F757" s="6" t="s">
        <v>17</v>
      </c>
      <c r="G757" s="5" t="s">
        <v>877</v>
      </c>
      <c r="H757" s="6" t="s">
        <v>28</v>
      </c>
      <c r="I757" s="7">
        <v>535</v>
      </c>
      <c r="J757" s="6" t="s">
        <v>719</v>
      </c>
      <c r="K757" s="61"/>
      <c r="L757" s="20">
        <f>0.0535*255.26*117.5809</f>
        <v>1605.7329785689999</v>
      </c>
      <c r="M757" s="20">
        <f t="shared" si="45"/>
        <v>481.71989357069992</v>
      </c>
    </row>
    <row r="758" spans="1:13" ht="22.5" x14ac:dyDescent="0.25">
      <c r="A758" s="5" t="s">
        <v>692</v>
      </c>
      <c r="B758" s="6" t="s">
        <v>715</v>
      </c>
      <c r="C758" s="6" t="s">
        <v>15</v>
      </c>
      <c r="D758" s="6" t="s">
        <v>16</v>
      </c>
      <c r="E758" s="6" t="s">
        <v>3</v>
      </c>
      <c r="F758" s="6" t="s">
        <v>17</v>
      </c>
      <c r="G758" s="5" t="s">
        <v>878</v>
      </c>
      <c r="H758" s="6" t="s">
        <v>28</v>
      </c>
      <c r="I758" s="7">
        <v>36</v>
      </c>
      <c r="J758" s="6" t="s">
        <v>719</v>
      </c>
      <c r="K758" s="61"/>
      <c r="L758" s="21">
        <f>0.0036*255.26*117.5809</f>
        <v>108.0493219224</v>
      </c>
      <c r="M758" s="21">
        <f t="shared" si="45"/>
        <v>32.414796576720001</v>
      </c>
    </row>
    <row r="759" spans="1:13" ht="22.5" x14ac:dyDescent="0.25">
      <c r="A759" s="5" t="s">
        <v>692</v>
      </c>
      <c r="B759" s="6" t="s">
        <v>715</v>
      </c>
      <c r="C759" s="6" t="s">
        <v>15</v>
      </c>
      <c r="D759" s="6" t="s">
        <v>16</v>
      </c>
      <c r="E759" s="6" t="s">
        <v>3</v>
      </c>
      <c r="F759" s="6" t="s">
        <v>17</v>
      </c>
      <c r="G759" s="5" t="s">
        <v>879</v>
      </c>
      <c r="H759" s="6" t="s">
        <v>28</v>
      </c>
      <c r="I759" s="7">
        <v>275</v>
      </c>
      <c r="J759" s="6" t="s">
        <v>719</v>
      </c>
      <c r="K759" s="61"/>
      <c r="L759" s="20">
        <f>0.0275*255.26*117.5809</f>
        <v>825.3767646849999</v>
      </c>
      <c r="M759" s="20">
        <f t="shared" si="45"/>
        <v>247.61302940549996</v>
      </c>
    </row>
    <row r="760" spans="1:13" ht="22.5" x14ac:dyDescent="0.25">
      <c r="A760" s="5" t="s">
        <v>692</v>
      </c>
      <c r="B760" s="6" t="s">
        <v>715</v>
      </c>
      <c r="C760" s="6" t="s">
        <v>15</v>
      </c>
      <c r="D760" s="6" t="s">
        <v>16</v>
      </c>
      <c r="E760" s="6" t="s">
        <v>3</v>
      </c>
      <c r="F760" s="6" t="s">
        <v>17</v>
      </c>
      <c r="G760" s="5" t="s">
        <v>880</v>
      </c>
      <c r="H760" s="6" t="s">
        <v>28</v>
      </c>
      <c r="I760" s="7">
        <v>1088</v>
      </c>
      <c r="J760" s="6" t="s">
        <v>719</v>
      </c>
      <c r="K760" s="61"/>
      <c r="L760" s="21">
        <f>0.1088*255.26*117.5809</f>
        <v>3265.4906180991993</v>
      </c>
      <c r="M760" s="21">
        <f t="shared" si="45"/>
        <v>979.6471854297597</v>
      </c>
    </row>
    <row r="761" spans="1:13" ht="22.5" x14ac:dyDescent="0.25">
      <c r="A761" s="5" t="s">
        <v>692</v>
      </c>
      <c r="B761" s="6" t="s">
        <v>715</v>
      </c>
      <c r="C761" s="6" t="s">
        <v>15</v>
      </c>
      <c r="D761" s="6" t="s">
        <v>16</v>
      </c>
      <c r="E761" s="6" t="s">
        <v>3</v>
      </c>
      <c r="F761" s="6" t="s">
        <v>17</v>
      </c>
      <c r="G761" s="5" t="s">
        <v>881</v>
      </c>
      <c r="H761" s="6" t="s">
        <v>179</v>
      </c>
      <c r="I761" s="7">
        <v>930</v>
      </c>
      <c r="J761" s="6" t="s">
        <v>719</v>
      </c>
      <c r="K761" s="61"/>
      <c r="L761" s="20">
        <f>0.093*280.51*117.5809</f>
        <v>3067.3834980869997</v>
      </c>
      <c r="M761" s="20">
        <f t="shared" si="45"/>
        <v>920.21504942609988</v>
      </c>
    </row>
    <row r="762" spans="1:13" ht="22.5" x14ac:dyDescent="0.25">
      <c r="A762" s="5" t="s">
        <v>692</v>
      </c>
      <c r="B762" s="6" t="s">
        <v>715</v>
      </c>
      <c r="C762" s="6" t="s">
        <v>15</v>
      </c>
      <c r="D762" s="6" t="s">
        <v>16</v>
      </c>
      <c r="E762" s="6" t="s">
        <v>3</v>
      </c>
      <c r="F762" s="6" t="s">
        <v>17</v>
      </c>
      <c r="G762" s="5" t="s">
        <v>882</v>
      </c>
      <c r="H762" s="6" t="s">
        <v>179</v>
      </c>
      <c r="I762" s="7">
        <v>432</v>
      </c>
      <c r="J762" s="6" t="s">
        <v>719</v>
      </c>
      <c r="K762" s="61"/>
      <c r="L762" s="21">
        <f>0.0432*280.51*117.5809</f>
        <v>1424.8491087887999</v>
      </c>
      <c r="M762" s="21">
        <f t="shared" si="45"/>
        <v>427.45473263663996</v>
      </c>
    </row>
    <row r="763" spans="1:13" x14ac:dyDescent="0.25">
      <c r="A763" s="5"/>
      <c r="B763" s="6"/>
      <c r="C763" s="6"/>
      <c r="D763" s="6"/>
      <c r="E763" s="6"/>
      <c r="F763" s="6"/>
      <c r="G763" s="5"/>
      <c r="H763" s="13" t="s">
        <v>25</v>
      </c>
      <c r="I763" s="7">
        <f>+SUM(I756:I762)</f>
        <v>4477</v>
      </c>
      <c r="J763" s="6"/>
      <c r="K763" s="62"/>
      <c r="L763" s="38">
        <f>SUM(L756:L762)</f>
        <v>13841.5003232168</v>
      </c>
      <c r="M763" s="38">
        <f>SUM(M756:M762)</f>
        <v>4152.4500969650389</v>
      </c>
    </row>
    <row r="764" spans="1:13" ht="22.5" x14ac:dyDescent="0.25">
      <c r="A764" s="5" t="s">
        <v>692</v>
      </c>
      <c r="B764" s="6" t="s">
        <v>715</v>
      </c>
      <c r="C764" s="6" t="s">
        <v>15</v>
      </c>
      <c r="D764" s="6" t="s">
        <v>16</v>
      </c>
      <c r="E764" s="6" t="s">
        <v>3</v>
      </c>
      <c r="F764" s="6" t="s">
        <v>17</v>
      </c>
      <c r="G764" s="5" t="s">
        <v>883</v>
      </c>
      <c r="H764" s="6" t="s">
        <v>179</v>
      </c>
      <c r="I764" s="7">
        <v>2528</v>
      </c>
      <c r="J764" s="6" t="s">
        <v>719</v>
      </c>
      <c r="K764" s="60">
        <v>44</v>
      </c>
      <c r="L764" s="16">
        <f>0.2528*280.51*117.5809</f>
        <v>8338.0058958752015</v>
      </c>
      <c r="M764" s="16">
        <f>L764*0.3</f>
        <v>2501.4017687625606</v>
      </c>
    </row>
    <row r="765" spans="1:13" ht="22.5" x14ac:dyDescent="0.25">
      <c r="A765" s="5" t="s">
        <v>692</v>
      </c>
      <c r="B765" s="6" t="s">
        <v>715</v>
      </c>
      <c r="C765" s="6" t="s">
        <v>15</v>
      </c>
      <c r="D765" s="6" t="s">
        <v>16</v>
      </c>
      <c r="E765" s="6" t="s">
        <v>3</v>
      </c>
      <c r="F765" s="6" t="s">
        <v>17</v>
      </c>
      <c r="G765" s="5" t="s">
        <v>884</v>
      </c>
      <c r="H765" s="6" t="s">
        <v>179</v>
      </c>
      <c r="I765" s="7">
        <v>663</v>
      </c>
      <c r="J765" s="6" t="s">
        <v>719</v>
      </c>
      <c r="K765" s="61"/>
      <c r="L765" s="12">
        <f>0.0663*280.51*117.5809</f>
        <v>2186.7475905716997</v>
      </c>
      <c r="M765" s="12">
        <f>L765*0.3</f>
        <v>656.02427717150988</v>
      </c>
    </row>
    <row r="766" spans="1:13" ht="22.5" x14ac:dyDescent="0.25">
      <c r="A766" s="5" t="s">
        <v>692</v>
      </c>
      <c r="B766" s="6" t="s">
        <v>715</v>
      </c>
      <c r="C766" s="6" t="s">
        <v>15</v>
      </c>
      <c r="D766" s="6" t="s">
        <v>16</v>
      </c>
      <c r="E766" s="6" t="s">
        <v>3</v>
      </c>
      <c r="F766" s="6" t="s">
        <v>17</v>
      </c>
      <c r="G766" s="5" t="s">
        <v>885</v>
      </c>
      <c r="H766" s="6" t="s">
        <v>179</v>
      </c>
      <c r="I766" s="7">
        <v>2642</v>
      </c>
      <c r="J766" s="6" t="s">
        <v>719</v>
      </c>
      <c r="K766" s="61"/>
      <c r="L766" s="16">
        <f>0.2642*280.51*117.5809</f>
        <v>8714.0077440278001</v>
      </c>
      <c r="M766" s="16">
        <f>L766*0.3</f>
        <v>2614.2023232083397</v>
      </c>
    </row>
    <row r="767" spans="1:13" ht="22.5" x14ac:dyDescent="0.25">
      <c r="A767" s="5" t="s">
        <v>692</v>
      </c>
      <c r="B767" s="6" t="s">
        <v>715</v>
      </c>
      <c r="C767" s="6" t="s">
        <v>15</v>
      </c>
      <c r="D767" s="6" t="s">
        <v>16</v>
      </c>
      <c r="E767" s="6" t="s">
        <v>3</v>
      </c>
      <c r="F767" s="6" t="s">
        <v>17</v>
      </c>
      <c r="G767" s="5" t="s">
        <v>886</v>
      </c>
      <c r="H767" s="6" t="s">
        <v>179</v>
      </c>
      <c r="I767" s="7">
        <v>643</v>
      </c>
      <c r="J767" s="6" t="s">
        <v>719</v>
      </c>
      <c r="K767" s="61"/>
      <c r="L767" s="12">
        <f>0.0643*280.51*117.5809</f>
        <v>2120.7823540537001</v>
      </c>
      <c r="M767" s="12">
        <f>L767*0.3</f>
        <v>636.23470621611</v>
      </c>
    </row>
    <row r="768" spans="1:13" ht="22.5" x14ac:dyDescent="0.25">
      <c r="A768" s="5" t="s">
        <v>692</v>
      </c>
      <c r="B768" s="6" t="s">
        <v>715</v>
      </c>
      <c r="C768" s="6" t="s">
        <v>15</v>
      </c>
      <c r="D768" s="6" t="s">
        <v>16</v>
      </c>
      <c r="E768" s="6" t="s">
        <v>3</v>
      </c>
      <c r="F768" s="6" t="s">
        <v>17</v>
      </c>
      <c r="G768" s="5" t="s">
        <v>887</v>
      </c>
      <c r="H768" s="6" t="s">
        <v>179</v>
      </c>
      <c r="I768" s="7">
        <v>3332</v>
      </c>
      <c r="J768" s="6" t="s">
        <v>719</v>
      </c>
      <c r="K768" s="61"/>
      <c r="L768" s="16">
        <f>0.3332*280.51*117.5809</f>
        <v>10989.8084038988</v>
      </c>
      <c r="M768" s="16">
        <f>L768*0.3</f>
        <v>3296.9425211696398</v>
      </c>
    </row>
    <row r="769" spans="1:13" x14ac:dyDescent="0.25">
      <c r="A769" s="5"/>
      <c r="B769" s="6"/>
      <c r="C769" s="6"/>
      <c r="D769" s="6"/>
      <c r="E769" s="6"/>
      <c r="F769" s="6"/>
      <c r="G769" s="5"/>
      <c r="H769" s="13" t="s">
        <v>25</v>
      </c>
      <c r="I769" s="7">
        <f>+SUM(I764:I768)</f>
        <v>9808</v>
      </c>
      <c r="J769" s="6"/>
      <c r="K769" s="62"/>
      <c r="L769" s="31">
        <f>SUM(L764:L768)</f>
        <v>32349.351988427203</v>
      </c>
      <c r="M769" s="31">
        <f>SUM(M764:M768)</f>
        <v>9704.8055965281601</v>
      </c>
    </row>
    <row r="770" spans="1:13" ht="22.5" x14ac:dyDescent="0.25">
      <c r="A770" s="5" t="s">
        <v>692</v>
      </c>
      <c r="B770" s="6" t="s">
        <v>715</v>
      </c>
      <c r="C770" s="6" t="s">
        <v>15</v>
      </c>
      <c r="D770" s="6" t="s">
        <v>16</v>
      </c>
      <c r="E770" s="6" t="s">
        <v>3</v>
      </c>
      <c r="F770" s="6" t="s">
        <v>17</v>
      </c>
      <c r="G770" s="5" t="s">
        <v>888</v>
      </c>
      <c r="H770" s="6" t="s">
        <v>179</v>
      </c>
      <c r="I770" s="7">
        <v>1060</v>
      </c>
      <c r="J770" s="6" t="s">
        <v>719</v>
      </c>
      <c r="K770" s="60">
        <v>45</v>
      </c>
      <c r="L770" s="21">
        <f>0.106*280.51*117.5809</f>
        <v>3496.157535454</v>
      </c>
      <c r="M770" s="21">
        <f t="shared" ref="M770:M775" si="46">L770*0.3</f>
        <v>1048.8472606362</v>
      </c>
    </row>
    <row r="771" spans="1:13" ht="22.5" x14ac:dyDescent="0.25">
      <c r="A771" s="5" t="s">
        <v>692</v>
      </c>
      <c r="B771" s="6" t="s">
        <v>715</v>
      </c>
      <c r="C771" s="6" t="s">
        <v>15</v>
      </c>
      <c r="D771" s="6" t="s">
        <v>16</v>
      </c>
      <c r="E771" s="6" t="s">
        <v>3</v>
      </c>
      <c r="F771" s="6" t="s">
        <v>17</v>
      </c>
      <c r="G771" s="5" t="s">
        <v>889</v>
      </c>
      <c r="H771" s="6" t="s">
        <v>123</v>
      </c>
      <c r="I771" s="7">
        <v>316</v>
      </c>
      <c r="J771" s="6" t="s">
        <v>719</v>
      </c>
      <c r="K771" s="61"/>
      <c r="L771" s="20">
        <f>0.0316*227.21*117.5809</f>
        <v>844.21157873240008</v>
      </c>
      <c r="M771" s="20">
        <f t="shared" si="46"/>
        <v>253.26347361972</v>
      </c>
    </row>
    <row r="772" spans="1:13" ht="22.5" x14ac:dyDescent="0.25">
      <c r="A772" s="5" t="s">
        <v>692</v>
      </c>
      <c r="B772" s="6" t="s">
        <v>715</v>
      </c>
      <c r="C772" s="6" t="s">
        <v>15</v>
      </c>
      <c r="D772" s="6" t="s">
        <v>16</v>
      </c>
      <c r="E772" s="6" t="s">
        <v>3</v>
      </c>
      <c r="F772" s="6" t="s">
        <v>17</v>
      </c>
      <c r="G772" s="5" t="s">
        <v>890</v>
      </c>
      <c r="H772" s="6" t="s">
        <v>28</v>
      </c>
      <c r="I772" s="7">
        <v>886</v>
      </c>
      <c r="J772" s="6" t="s">
        <v>719</v>
      </c>
      <c r="K772" s="61"/>
      <c r="L772" s="21">
        <f>0.0886*255.26*117.5809</f>
        <v>2659.2138673123995</v>
      </c>
      <c r="M772" s="21">
        <f t="shared" si="46"/>
        <v>797.76416019371982</v>
      </c>
    </row>
    <row r="773" spans="1:13" ht="22.5" x14ac:dyDescent="0.25">
      <c r="A773" s="5" t="s">
        <v>692</v>
      </c>
      <c r="B773" s="6" t="s">
        <v>715</v>
      </c>
      <c r="C773" s="6" t="s">
        <v>15</v>
      </c>
      <c r="D773" s="6" t="s">
        <v>16</v>
      </c>
      <c r="E773" s="6" t="s">
        <v>3</v>
      </c>
      <c r="F773" s="6" t="s">
        <v>17</v>
      </c>
      <c r="G773" s="5" t="s">
        <v>891</v>
      </c>
      <c r="H773" s="6" t="s">
        <v>28</v>
      </c>
      <c r="I773" s="7">
        <v>2131</v>
      </c>
      <c r="J773" s="6" t="s">
        <v>719</v>
      </c>
      <c r="K773" s="61"/>
      <c r="L773" s="20">
        <f>0.2131*255.26*117.5809</f>
        <v>6395.9195837954003</v>
      </c>
      <c r="M773" s="20">
        <f t="shared" si="46"/>
        <v>1918.77587513862</v>
      </c>
    </row>
    <row r="774" spans="1:13" ht="22.5" x14ac:dyDescent="0.25">
      <c r="A774" s="5" t="s">
        <v>692</v>
      </c>
      <c r="B774" s="6" t="s">
        <v>715</v>
      </c>
      <c r="C774" s="6" t="s">
        <v>15</v>
      </c>
      <c r="D774" s="6" t="s">
        <v>16</v>
      </c>
      <c r="E774" s="6" t="s">
        <v>3</v>
      </c>
      <c r="F774" s="6" t="s">
        <v>17</v>
      </c>
      <c r="G774" s="5" t="s">
        <v>892</v>
      </c>
      <c r="H774" s="6" t="s">
        <v>179</v>
      </c>
      <c r="I774" s="7">
        <v>2459</v>
      </c>
      <c r="J774" s="6" t="s">
        <v>719</v>
      </c>
      <c r="K774" s="61"/>
      <c r="L774" s="21">
        <f>0.2459*280.51*117.5809</f>
        <v>8110.4258298880995</v>
      </c>
      <c r="M774" s="21">
        <f t="shared" si="46"/>
        <v>2433.1277489664299</v>
      </c>
    </row>
    <row r="775" spans="1:13" ht="22.5" x14ac:dyDescent="0.25">
      <c r="A775" s="5" t="s">
        <v>692</v>
      </c>
      <c r="B775" s="6" t="s">
        <v>715</v>
      </c>
      <c r="C775" s="6" t="s">
        <v>15</v>
      </c>
      <c r="D775" s="6" t="s">
        <v>16</v>
      </c>
      <c r="E775" s="6" t="s">
        <v>3</v>
      </c>
      <c r="F775" s="6" t="s">
        <v>17</v>
      </c>
      <c r="G775" s="5" t="s">
        <v>893</v>
      </c>
      <c r="H775" s="6" t="s">
        <v>179</v>
      </c>
      <c r="I775" s="7">
        <v>984</v>
      </c>
      <c r="J775" s="6" t="s">
        <v>719</v>
      </c>
      <c r="K775" s="61"/>
      <c r="L775" s="20">
        <f>0.0984*280.51*117.5809</f>
        <v>3245.4896366856001</v>
      </c>
      <c r="M775" s="20">
        <f t="shared" si="46"/>
        <v>973.64689100568</v>
      </c>
    </row>
    <row r="776" spans="1:13" x14ac:dyDescent="0.25">
      <c r="A776" s="5"/>
      <c r="B776" s="6"/>
      <c r="C776" s="6"/>
      <c r="D776" s="6"/>
      <c r="E776" s="6"/>
      <c r="F776" s="6"/>
      <c r="G776" s="5"/>
      <c r="H776" s="13" t="s">
        <v>25</v>
      </c>
      <c r="I776" s="7">
        <f>+SUM(I770:I775)</f>
        <v>7836</v>
      </c>
      <c r="J776" s="6"/>
      <c r="K776" s="62"/>
      <c r="L776" s="37">
        <f>SUM(L770:L775)</f>
        <v>24751.418031867899</v>
      </c>
      <c r="M776" s="37">
        <f>SUM(M770:M775)</f>
        <v>7425.4254095603692</v>
      </c>
    </row>
    <row r="777" spans="1:13" ht="22.5" x14ac:dyDescent="0.25">
      <c r="A777" s="5" t="s">
        <v>692</v>
      </c>
      <c r="B777" s="6" t="s">
        <v>715</v>
      </c>
      <c r="C777" s="6" t="s">
        <v>15</v>
      </c>
      <c r="D777" s="6" t="s">
        <v>16</v>
      </c>
      <c r="E777" s="6" t="s">
        <v>3</v>
      </c>
      <c r="F777" s="6" t="s">
        <v>17</v>
      </c>
      <c r="G777" s="5" t="s">
        <v>894</v>
      </c>
      <c r="H777" s="6" t="s">
        <v>179</v>
      </c>
      <c r="I777" s="7">
        <v>2583</v>
      </c>
      <c r="J777" s="6" t="s">
        <v>714</v>
      </c>
      <c r="K777" s="60">
        <v>46</v>
      </c>
      <c r="L777" s="12">
        <f>0.2583*280.51*117.5809</f>
        <v>8519.4102962996985</v>
      </c>
      <c r="M777" s="12">
        <f>L777*0.3</f>
        <v>2555.8230888899093</v>
      </c>
    </row>
    <row r="778" spans="1:13" ht="22.5" x14ac:dyDescent="0.25">
      <c r="A778" s="5" t="s">
        <v>692</v>
      </c>
      <c r="B778" s="6" t="s">
        <v>715</v>
      </c>
      <c r="C778" s="6" t="s">
        <v>15</v>
      </c>
      <c r="D778" s="6" t="s">
        <v>16</v>
      </c>
      <c r="E778" s="6" t="s">
        <v>3</v>
      </c>
      <c r="F778" s="6" t="s">
        <v>17</v>
      </c>
      <c r="G778" s="5" t="s">
        <v>895</v>
      </c>
      <c r="H778" s="6" t="s">
        <v>179</v>
      </c>
      <c r="I778" s="7">
        <v>3278</v>
      </c>
      <c r="J778" s="6" t="s">
        <v>714</v>
      </c>
      <c r="K778" s="61"/>
      <c r="L778" s="16">
        <f>0.3278*280.51*117.5809</f>
        <v>10811.702265300199</v>
      </c>
      <c r="M778" s="16">
        <f>L778*0.3</f>
        <v>3243.5106795900597</v>
      </c>
    </row>
    <row r="779" spans="1:13" x14ac:dyDescent="0.25">
      <c r="A779" s="5"/>
      <c r="B779" s="6"/>
      <c r="C779" s="6"/>
      <c r="D779" s="6"/>
      <c r="E779" s="6"/>
      <c r="F779" s="6"/>
      <c r="G779" s="5"/>
      <c r="H779" s="13" t="s">
        <v>25</v>
      </c>
      <c r="I779" s="7">
        <f>+SUM(I777:I778)</f>
        <v>5861</v>
      </c>
      <c r="J779" s="6"/>
      <c r="K779" s="62"/>
      <c r="L779" s="31">
        <f>SUM(L777:L778)</f>
        <v>19331.112561599897</v>
      </c>
      <c r="M779" s="31">
        <f>SUM(M777:M778)</f>
        <v>5799.333768479969</v>
      </c>
    </row>
    <row r="780" spans="1:13" ht="22.5" x14ac:dyDescent="0.25">
      <c r="A780" s="5" t="s">
        <v>692</v>
      </c>
      <c r="B780" s="6" t="s">
        <v>715</v>
      </c>
      <c r="C780" s="6" t="s">
        <v>15</v>
      </c>
      <c r="D780" s="6" t="s">
        <v>16</v>
      </c>
      <c r="E780" s="6" t="s">
        <v>3</v>
      </c>
      <c r="F780" s="6" t="s">
        <v>17</v>
      </c>
      <c r="G780" s="5" t="s">
        <v>896</v>
      </c>
      <c r="H780" s="6" t="s">
        <v>19</v>
      </c>
      <c r="I780" s="7">
        <v>9767</v>
      </c>
      <c r="J780" s="6" t="s">
        <v>714</v>
      </c>
      <c r="K780" s="24">
        <v>47</v>
      </c>
      <c r="L780" s="19">
        <f>0.9767*68.16*117.5809</f>
        <v>7827.5806244447995</v>
      </c>
      <c r="M780" s="19">
        <f t="shared" ref="M780:M788" si="47">L780*0.3</f>
        <v>2348.2741873334398</v>
      </c>
    </row>
    <row r="781" spans="1:13" ht="22.5" x14ac:dyDescent="0.25">
      <c r="A781" s="5" t="s">
        <v>692</v>
      </c>
      <c r="B781" s="6" t="s">
        <v>715</v>
      </c>
      <c r="C781" s="6" t="s">
        <v>15</v>
      </c>
      <c r="D781" s="6" t="s">
        <v>16</v>
      </c>
      <c r="E781" s="6" t="s">
        <v>3</v>
      </c>
      <c r="F781" s="6" t="s">
        <v>17</v>
      </c>
      <c r="G781" s="5" t="s">
        <v>897</v>
      </c>
      <c r="H781" s="6" t="s">
        <v>19</v>
      </c>
      <c r="I781" s="7">
        <v>1882</v>
      </c>
      <c r="J781" s="6" t="s">
        <v>714</v>
      </c>
      <c r="K781" s="24">
        <v>48</v>
      </c>
      <c r="L781" s="22">
        <f>0.1882*68.16*117.5809</f>
        <v>1508.2939219007999</v>
      </c>
      <c r="M781" s="22">
        <f t="shared" si="47"/>
        <v>452.48817657023994</v>
      </c>
    </row>
    <row r="782" spans="1:13" ht="22.5" x14ac:dyDescent="0.25">
      <c r="A782" s="5" t="s">
        <v>692</v>
      </c>
      <c r="B782" s="6" t="s">
        <v>715</v>
      </c>
      <c r="C782" s="6" t="s">
        <v>15</v>
      </c>
      <c r="D782" s="6" t="s">
        <v>16</v>
      </c>
      <c r="E782" s="6" t="s">
        <v>3</v>
      </c>
      <c r="F782" s="6" t="s">
        <v>17</v>
      </c>
      <c r="G782" s="5" t="s">
        <v>898</v>
      </c>
      <c r="H782" s="6" t="s">
        <v>28</v>
      </c>
      <c r="I782" s="7">
        <v>554</v>
      </c>
      <c r="J782" s="6" t="s">
        <v>850</v>
      </c>
      <c r="K782" s="60">
        <v>49</v>
      </c>
      <c r="L782" s="21">
        <f>0.0554*255.26*117.5809</f>
        <v>1662.7590095835999</v>
      </c>
      <c r="M782" s="21">
        <f t="shared" si="47"/>
        <v>498.82770287507992</v>
      </c>
    </row>
    <row r="783" spans="1:13" ht="22.5" x14ac:dyDescent="0.25">
      <c r="A783" s="5" t="s">
        <v>692</v>
      </c>
      <c r="B783" s="6" t="s">
        <v>715</v>
      </c>
      <c r="C783" s="6" t="s">
        <v>15</v>
      </c>
      <c r="D783" s="6" t="s">
        <v>16</v>
      </c>
      <c r="E783" s="6" t="s">
        <v>3</v>
      </c>
      <c r="F783" s="6" t="s">
        <v>17</v>
      </c>
      <c r="G783" s="5" t="s">
        <v>899</v>
      </c>
      <c r="H783" s="6" t="s">
        <v>28</v>
      </c>
      <c r="I783" s="7">
        <v>1992</v>
      </c>
      <c r="J783" s="6" t="s">
        <v>850</v>
      </c>
      <c r="K783" s="61"/>
      <c r="L783" s="20">
        <f>0.1992*255.26*117.5809</f>
        <v>5978.7291463727997</v>
      </c>
      <c r="M783" s="20">
        <f t="shared" si="47"/>
        <v>1793.6187439118398</v>
      </c>
    </row>
    <row r="784" spans="1:13" ht="22.5" x14ac:dyDescent="0.25">
      <c r="A784" s="5" t="s">
        <v>692</v>
      </c>
      <c r="B784" s="6" t="s">
        <v>715</v>
      </c>
      <c r="C784" s="6" t="s">
        <v>15</v>
      </c>
      <c r="D784" s="6" t="s">
        <v>16</v>
      </c>
      <c r="E784" s="6" t="s">
        <v>3</v>
      </c>
      <c r="F784" s="6" t="s">
        <v>17</v>
      </c>
      <c r="G784" s="5" t="s">
        <v>900</v>
      </c>
      <c r="H784" s="6" t="s">
        <v>28</v>
      </c>
      <c r="I784" s="7">
        <v>608</v>
      </c>
      <c r="J784" s="6" t="s">
        <v>850</v>
      </c>
      <c r="K784" s="61"/>
      <c r="L784" s="20">
        <f>0.0608*255.26*117.5809</f>
        <v>1824.8329924672</v>
      </c>
      <c r="M784" s="20">
        <f t="shared" si="47"/>
        <v>547.44989774015994</v>
      </c>
    </row>
    <row r="785" spans="1:13" ht="22.5" x14ac:dyDescent="0.25">
      <c r="A785" s="5" t="s">
        <v>692</v>
      </c>
      <c r="B785" s="6" t="s">
        <v>715</v>
      </c>
      <c r="C785" s="6" t="s">
        <v>15</v>
      </c>
      <c r="D785" s="6" t="s">
        <v>16</v>
      </c>
      <c r="E785" s="6" t="s">
        <v>3</v>
      </c>
      <c r="F785" s="6" t="s">
        <v>17</v>
      </c>
      <c r="G785" s="5" t="s">
        <v>901</v>
      </c>
      <c r="H785" s="6" t="s">
        <v>28</v>
      </c>
      <c r="I785" s="7">
        <v>280</v>
      </c>
      <c r="J785" s="6" t="s">
        <v>850</v>
      </c>
      <c r="K785" s="61"/>
      <c r="L785" s="21">
        <f>0.028*255.26*117.5809</f>
        <v>840.38361495200002</v>
      </c>
      <c r="M785" s="21">
        <f t="shared" si="47"/>
        <v>252.11508448559999</v>
      </c>
    </row>
    <row r="786" spans="1:13" ht="22.5" x14ac:dyDescent="0.25">
      <c r="A786" s="5" t="s">
        <v>692</v>
      </c>
      <c r="B786" s="6" t="s">
        <v>715</v>
      </c>
      <c r="C786" s="6" t="s">
        <v>15</v>
      </c>
      <c r="D786" s="6" t="s">
        <v>16</v>
      </c>
      <c r="E786" s="6" t="s">
        <v>3</v>
      </c>
      <c r="F786" s="6" t="s">
        <v>17</v>
      </c>
      <c r="G786" s="5" t="s">
        <v>902</v>
      </c>
      <c r="H786" s="6" t="s">
        <v>28</v>
      </c>
      <c r="I786" s="7">
        <v>474</v>
      </c>
      <c r="J786" s="6" t="s">
        <v>850</v>
      </c>
      <c r="K786" s="61"/>
      <c r="L786" s="20">
        <f>0.0474*255.26*117.5809</f>
        <v>1422.6494053115998</v>
      </c>
      <c r="M786" s="20">
        <f t="shared" si="47"/>
        <v>426.79482159347992</v>
      </c>
    </row>
    <row r="787" spans="1:13" ht="22.5" x14ac:dyDescent="0.25">
      <c r="A787" s="5" t="s">
        <v>692</v>
      </c>
      <c r="B787" s="6" t="s">
        <v>715</v>
      </c>
      <c r="C787" s="6" t="s">
        <v>15</v>
      </c>
      <c r="D787" s="6" t="s">
        <v>16</v>
      </c>
      <c r="E787" s="6" t="s">
        <v>3</v>
      </c>
      <c r="F787" s="6" t="s">
        <v>17</v>
      </c>
      <c r="G787" s="5" t="s">
        <v>903</v>
      </c>
      <c r="H787" s="6" t="s">
        <v>28</v>
      </c>
      <c r="I787" s="7">
        <v>492</v>
      </c>
      <c r="J787" s="6" t="s">
        <v>850</v>
      </c>
      <c r="K787" s="61"/>
      <c r="L787" s="21">
        <f>0.0492*255.26*117.5809</f>
        <v>1476.6740662728</v>
      </c>
      <c r="M787" s="21">
        <f t="shared" si="47"/>
        <v>443.00221988184001</v>
      </c>
    </row>
    <row r="788" spans="1:13" ht="22.5" x14ac:dyDescent="0.25">
      <c r="A788" s="5" t="s">
        <v>692</v>
      </c>
      <c r="B788" s="6" t="s">
        <v>715</v>
      </c>
      <c r="C788" s="6" t="s">
        <v>15</v>
      </c>
      <c r="D788" s="6" t="s">
        <v>16</v>
      </c>
      <c r="E788" s="6" t="s">
        <v>3</v>
      </c>
      <c r="F788" s="6" t="s">
        <v>17</v>
      </c>
      <c r="G788" s="5" t="s">
        <v>904</v>
      </c>
      <c r="H788" s="6" t="s">
        <v>28</v>
      </c>
      <c r="I788" s="7">
        <v>1695</v>
      </c>
      <c r="J788" s="6" t="s">
        <v>850</v>
      </c>
      <c r="K788" s="61"/>
      <c r="L788" s="20">
        <f>0.1695*255.26*117.5809</f>
        <v>5087.322240513</v>
      </c>
      <c r="M788" s="20">
        <f t="shared" si="47"/>
        <v>1526.1966721539</v>
      </c>
    </row>
    <row r="789" spans="1:13" x14ac:dyDescent="0.25">
      <c r="A789" s="5"/>
      <c r="B789" s="6"/>
      <c r="C789" s="6"/>
      <c r="D789" s="6"/>
      <c r="E789" s="6"/>
      <c r="F789" s="6"/>
      <c r="G789" s="5"/>
      <c r="H789" s="51" t="s">
        <v>25</v>
      </c>
      <c r="I789" s="7">
        <f>+SUM(I782:I788)</f>
        <v>6095</v>
      </c>
      <c r="J789" s="6"/>
      <c r="K789" s="62"/>
      <c r="L789" s="19">
        <f>+SUM(L782:L788)</f>
        <v>18293.350475473002</v>
      </c>
      <c r="M789" s="19">
        <f>+SUM(M782:M788)</f>
        <v>5488.0051426418995</v>
      </c>
    </row>
    <row r="790" spans="1:13" ht="22.5" x14ac:dyDescent="0.25">
      <c r="A790" s="5" t="s">
        <v>692</v>
      </c>
      <c r="B790" s="6" t="s">
        <v>715</v>
      </c>
      <c r="C790" s="6" t="s">
        <v>15</v>
      </c>
      <c r="D790" s="6" t="s">
        <v>16</v>
      </c>
      <c r="E790" s="6" t="s">
        <v>3</v>
      </c>
      <c r="F790" s="6" t="s">
        <v>17</v>
      </c>
      <c r="G790" s="5" t="s">
        <v>905</v>
      </c>
      <c r="H790" s="6" t="s">
        <v>59</v>
      </c>
      <c r="I790" s="7">
        <v>3845</v>
      </c>
      <c r="J790" s="6" t="s">
        <v>708</v>
      </c>
      <c r="K790" s="24">
        <v>50</v>
      </c>
      <c r="L790" s="22">
        <f>0.3845*45.44*117.5809</f>
        <v>2054.3358589119998</v>
      </c>
      <c r="M790" s="22">
        <f t="shared" ref="M790:M799" si="48">L790*0.3</f>
        <v>616.30075767359995</v>
      </c>
    </row>
    <row r="791" spans="1:13" ht="22.5" x14ac:dyDescent="0.25">
      <c r="A791" s="5" t="s">
        <v>692</v>
      </c>
      <c r="B791" s="6" t="s">
        <v>715</v>
      </c>
      <c r="C791" s="6" t="s">
        <v>15</v>
      </c>
      <c r="D791" s="6" t="s">
        <v>16</v>
      </c>
      <c r="E791" s="6" t="s">
        <v>3</v>
      </c>
      <c r="F791" s="6" t="s">
        <v>17</v>
      </c>
      <c r="G791" s="5" t="s">
        <v>906</v>
      </c>
      <c r="H791" s="6" t="s">
        <v>28</v>
      </c>
      <c r="I791" s="7">
        <v>2460</v>
      </c>
      <c r="J791" s="6" t="s">
        <v>708</v>
      </c>
      <c r="K791" s="24">
        <v>51</v>
      </c>
      <c r="L791" s="22">
        <f>0.246*255.26*117.5809</f>
        <v>7383.3703313639999</v>
      </c>
      <c r="M791" s="22">
        <f t="shared" si="48"/>
        <v>2215.0110994091997</v>
      </c>
    </row>
    <row r="792" spans="1:13" ht="45" x14ac:dyDescent="0.25">
      <c r="A792" s="5" t="s">
        <v>692</v>
      </c>
      <c r="B792" s="6" t="s">
        <v>715</v>
      </c>
      <c r="C792" s="6" t="s">
        <v>15</v>
      </c>
      <c r="D792" s="6" t="s">
        <v>16</v>
      </c>
      <c r="E792" s="6" t="s">
        <v>3</v>
      </c>
      <c r="F792" s="6" t="s">
        <v>17</v>
      </c>
      <c r="G792" s="5" t="s">
        <v>907</v>
      </c>
      <c r="H792" s="6" t="s">
        <v>28</v>
      </c>
      <c r="I792" s="7">
        <v>655</v>
      </c>
      <c r="J792" s="6" t="s">
        <v>835</v>
      </c>
      <c r="K792" s="24">
        <v>52</v>
      </c>
      <c r="L792" s="19">
        <f>0.0655*255.26*117.5809</f>
        <v>1965.8973849769998</v>
      </c>
      <c r="M792" s="19">
        <f t="shared" si="48"/>
        <v>589.76921549309986</v>
      </c>
    </row>
    <row r="793" spans="1:13" ht="45" x14ac:dyDescent="0.25">
      <c r="A793" s="5" t="s">
        <v>692</v>
      </c>
      <c r="B793" s="6" t="s">
        <v>715</v>
      </c>
      <c r="C793" s="6" t="s">
        <v>15</v>
      </c>
      <c r="D793" s="6" t="s">
        <v>16</v>
      </c>
      <c r="E793" s="6" t="s">
        <v>3</v>
      </c>
      <c r="F793" s="6" t="s">
        <v>17</v>
      </c>
      <c r="G793" s="5" t="s">
        <v>908</v>
      </c>
      <c r="H793" s="6" t="s">
        <v>28</v>
      </c>
      <c r="I793" s="7">
        <v>8413</v>
      </c>
      <c r="J793" s="6" t="s">
        <v>835</v>
      </c>
      <c r="K793" s="60">
        <v>53</v>
      </c>
      <c r="L793" s="56">
        <f>0.8413*255.26*117.5809</f>
        <v>25250.526259254199</v>
      </c>
      <c r="M793" s="56">
        <f t="shared" si="48"/>
        <v>7575.1578777762588</v>
      </c>
    </row>
    <row r="794" spans="1:13" ht="45" x14ac:dyDescent="0.25">
      <c r="A794" s="5" t="s">
        <v>692</v>
      </c>
      <c r="B794" s="6" t="s">
        <v>715</v>
      </c>
      <c r="C794" s="6" t="s">
        <v>15</v>
      </c>
      <c r="D794" s="6" t="s">
        <v>16</v>
      </c>
      <c r="E794" s="6" t="s">
        <v>3</v>
      </c>
      <c r="F794" s="6" t="s">
        <v>17</v>
      </c>
      <c r="G794" s="5" t="s">
        <v>909</v>
      </c>
      <c r="H794" s="6" t="s">
        <v>28</v>
      </c>
      <c r="I794" s="7">
        <v>2838</v>
      </c>
      <c r="J794" s="6" t="s">
        <v>835</v>
      </c>
      <c r="K794" s="61"/>
      <c r="L794" s="12">
        <f>0.2838*255.26*117.5809</f>
        <v>8517.8882115491997</v>
      </c>
      <c r="M794" s="12">
        <f t="shared" si="48"/>
        <v>2555.3664634647598</v>
      </c>
    </row>
    <row r="795" spans="1:13" ht="45" x14ac:dyDescent="0.25">
      <c r="A795" s="5" t="s">
        <v>692</v>
      </c>
      <c r="B795" s="6" t="s">
        <v>715</v>
      </c>
      <c r="C795" s="6" t="s">
        <v>15</v>
      </c>
      <c r="D795" s="6" t="s">
        <v>16</v>
      </c>
      <c r="E795" s="6" t="s">
        <v>3</v>
      </c>
      <c r="F795" s="6" t="s">
        <v>17</v>
      </c>
      <c r="G795" s="5" t="s">
        <v>910</v>
      </c>
      <c r="H795" s="6" t="s">
        <v>28</v>
      </c>
      <c r="I795" s="7">
        <v>1017</v>
      </c>
      <c r="J795" s="6" t="s">
        <v>835</v>
      </c>
      <c r="K795" s="61"/>
      <c r="L795" s="16">
        <f>0.1017*255.26*117.5809</f>
        <v>3052.3933443077999</v>
      </c>
      <c r="M795" s="16">
        <f t="shared" si="48"/>
        <v>915.71800329233997</v>
      </c>
    </row>
    <row r="796" spans="1:13" ht="45" x14ac:dyDescent="0.25">
      <c r="A796" s="5" t="s">
        <v>692</v>
      </c>
      <c r="B796" s="6" t="s">
        <v>715</v>
      </c>
      <c r="C796" s="6" t="s">
        <v>15</v>
      </c>
      <c r="D796" s="6" t="s">
        <v>16</v>
      </c>
      <c r="E796" s="6" t="s">
        <v>3</v>
      </c>
      <c r="F796" s="6" t="s">
        <v>17</v>
      </c>
      <c r="G796" s="5" t="s">
        <v>911</v>
      </c>
      <c r="H796" s="6" t="s">
        <v>28</v>
      </c>
      <c r="I796" s="7">
        <v>4108</v>
      </c>
      <c r="J796" s="6" t="s">
        <v>835</v>
      </c>
      <c r="K796" s="61"/>
      <c r="L796" s="12">
        <f>0.4108*255.26*117.5809</f>
        <v>12329.628179367199</v>
      </c>
      <c r="M796" s="12">
        <f t="shared" si="48"/>
        <v>3698.8884538101593</v>
      </c>
    </row>
    <row r="797" spans="1:13" ht="45" x14ac:dyDescent="0.25">
      <c r="A797" s="5" t="s">
        <v>692</v>
      </c>
      <c r="B797" s="6" t="s">
        <v>715</v>
      </c>
      <c r="C797" s="6" t="s">
        <v>15</v>
      </c>
      <c r="D797" s="6" t="s">
        <v>16</v>
      </c>
      <c r="E797" s="6" t="s">
        <v>3</v>
      </c>
      <c r="F797" s="6" t="s">
        <v>17</v>
      </c>
      <c r="G797" s="5" t="s">
        <v>912</v>
      </c>
      <c r="H797" s="6" t="s">
        <v>28</v>
      </c>
      <c r="I797" s="7">
        <v>660</v>
      </c>
      <c r="J797" s="6" t="s">
        <v>835</v>
      </c>
      <c r="K797" s="61"/>
      <c r="L797" s="16">
        <f>0.066*255.26*117.5809</f>
        <v>1980.9042352439999</v>
      </c>
      <c r="M797" s="16">
        <f t="shared" si="48"/>
        <v>594.2712705731999</v>
      </c>
    </row>
    <row r="798" spans="1:13" ht="45" x14ac:dyDescent="0.25">
      <c r="A798" s="5" t="s">
        <v>692</v>
      </c>
      <c r="B798" s="6" t="s">
        <v>715</v>
      </c>
      <c r="C798" s="6" t="s">
        <v>15</v>
      </c>
      <c r="D798" s="6" t="s">
        <v>16</v>
      </c>
      <c r="E798" s="6" t="s">
        <v>3</v>
      </c>
      <c r="F798" s="6" t="s">
        <v>17</v>
      </c>
      <c r="G798" s="5" t="s">
        <v>913</v>
      </c>
      <c r="H798" s="6" t="s">
        <v>28</v>
      </c>
      <c r="I798" s="7">
        <v>3706</v>
      </c>
      <c r="J798" s="6" t="s">
        <v>835</v>
      </c>
      <c r="K798" s="61"/>
      <c r="L798" s="12">
        <f>0.3706*255.26*117.5809</f>
        <v>11123.077417900398</v>
      </c>
      <c r="M798" s="12">
        <f t="shared" si="48"/>
        <v>3336.9232253701193</v>
      </c>
    </row>
    <row r="799" spans="1:13" ht="45" x14ac:dyDescent="0.25">
      <c r="A799" s="5" t="s">
        <v>692</v>
      </c>
      <c r="B799" s="6" t="s">
        <v>715</v>
      </c>
      <c r="C799" s="6" t="s">
        <v>15</v>
      </c>
      <c r="D799" s="6" t="s">
        <v>16</v>
      </c>
      <c r="E799" s="6" t="s">
        <v>3</v>
      </c>
      <c r="F799" s="6" t="s">
        <v>17</v>
      </c>
      <c r="G799" s="5" t="s">
        <v>914</v>
      </c>
      <c r="H799" s="6" t="s">
        <v>28</v>
      </c>
      <c r="I799" s="7">
        <v>1453</v>
      </c>
      <c r="J799" s="6" t="s">
        <v>835</v>
      </c>
      <c r="K799" s="61"/>
      <c r="L799" s="16">
        <f>0.1453*255.26*117.5809</f>
        <v>4360.9906875901997</v>
      </c>
      <c r="M799" s="16">
        <f t="shared" si="48"/>
        <v>1308.2972062770598</v>
      </c>
    </row>
    <row r="800" spans="1:13" x14ac:dyDescent="0.25">
      <c r="A800" s="5"/>
      <c r="B800" s="6"/>
      <c r="C800" s="6"/>
      <c r="D800" s="6"/>
      <c r="E800" s="6"/>
      <c r="F800" s="6"/>
      <c r="G800" s="5"/>
      <c r="H800" s="13" t="s">
        <v>25</v>
      </c>
      <c r="I800" s="7">
        <f>+SUM(I793:I799)</f>
        <v>22195</v>
      </c>
      <c r="J800" s="6"/>
      <c r="K800" s="62"/>
      <c r="L800" s="31">
        <f>SUM(L793:L799)</f>
        <v>66615.408335212996</v>
      </c>
      <c r="M800" s="31">
        <f>SUM(M793:M799)</f>
        <v>19984.622500563895</v>
      </c>
    </row>
    <row r="801" spans="1:14" ht="45" x14ac:dyDescent="0.25">
      <c r="A801" s="5" t="s">
        <v>692</v>
      </c>
      <c r="B801" s="6" t="s">
        <v>715</v>
      </c>
      <c r="C801" s="6" t="s">
        <v>15</v>
      </c>
      <c r="D801" s="6" t="s">
        <v>16</v>
      </c>
      <c r="E801" s="6" t="s">
        <v>3</v>
      </c>
      <c r="F801" s="6" t="s">
        <v>17</v>
      </c>
      <c r="G801" s="5" t="s">
        <v>915</v>
      </c>
      <c r="H801" s="6" t="s">
        <v>28</v>
      </c>
      <c r="I801" s="7">
        <v>3821</v>
      </c>
      <c r="J801" s="6" t="s">
        <v>835</v>
      </c>
      <c r="K801" s="60">
        <v>54</v>
      </c>
      <c r="L801" s="56">
        <f>0.3821*255.26*117.5809</f>
        <v>11468.234974041401</v>
      </c>
      <c r="M801" s="56">
        <f>L801*0.3</f>
        <v>3440.4704922124201</v>
      </c>
    </row>
    <row r="802" spans="1:14" ht="45" x14ac:dyDescent="0.25">
      <c r="A802" s="5" t="s">
        <v>692</v>
      </c>
      <c r="B802" s="6" t="s">
        <v>715</v>
      </c>
      <c r="C802" s="6" t="s">
        <v>15</v>
      </c>
      <c r="D802" s="6" t="s">
        <v>16</v>
      </c>
      <c r="E802" s="6" t="s">
        <v>3</v>
      </c>
      <c r="F802" s="6" t="s">
        <v>17</v>
      </c>
      <c r="G802" s="5" t="s">
        <v>916</v>
      </c>
      <c r="H802" s="6" t="s">
        <v>28</v>
      </c>
      <c r="I802" s="7">
        <v>1867</v>
      </c>
      <c r="J802" s="6" t="s">
        <v>835</v>
      </c>
      <c r="K802" s="61"/>
      <c r="L802" s="12">
        <f>0.1867*255.26*117.5809</f>
        <v>5603.5578896977995</v>
      </c>
      <c r="M802" s="12">
        <f>L802*0.3</f>
        <v>1681.0673669093399</v>
      </c>
    </row>
    <row r="803" spans="1:14" x14ac:dyDescent="0.25">
      <c r="A803" s="5"/>
      <c r="B803" s="6"/>
      <c r="C803" s="6"/>
      <c r="D803" s="6"/>
      <c r="E803" s="6"/>
      <c r="F803" s="6"/>
      <c r="G803" s="5"/>
      <c r="H803" s="13" t="s">
        <v>25</v>
      </c>
      <c r="I803" s="7">
        <f>+SUM(I801:I802)</f>
        <v>5688</v>
      </c>
      <c r="J803" s="6"/>
      <c r="K803" s="62"/>
      <c r="L803" s="57">
        <f>SUM(L801:L802)</f>
        <v>17071.7928637392</v>
      </c>
      <c r="M803" s="57">
        <f>SUM(M801:M802)</f>
        <v>5121.5378591217595</v>
      </c>
    </row>
    <row r="804" spans="1:14" ht="45" x14ac:dyDescent="0.25">
      <c r="A804" s="41" t="s">
        <v>692</v>
      </c>
      <c r="B804" s="42" t="s">
        <v>715</v>
      </c>
      <c r="C804" s="42" t="s">
        <v>15</v>
      </c>
      <c r="D804" s="42" t="s">
        <v>16</v>
      </c>
      <c r="E804" s="42" t="s">
        <v>3</v>
      </c>
      <c r="F804" s="42" t="s">
        <v>17</v>
      </c>
      <c r="G804" s="41" t="s">
        <v>917</v>
      </c>
      <c r="H804" s="42" t="s">
        <v>28</v>
      </c>
      <c r="I804" s="43">
        <v>4015</v>
      </c>
      <c r="J804" s="42" t="s">
        <v>835</v>
      </c>
      <c r="K804" s="61">
        <v>55</v>
      </c>
      <c r="L804" s="58">
        <f>0.4015*255.26*117.5809</f>
        <v>12050.500764401</v>
      </c>
      <c r="M804" s="58">
        <f>L804*0.3</f>
        <v>3615.1502293202998</v>
      </c>
    </row>
    <row r="805" spans="1:14" ht="45" x14ac:dyDescent="0.25">
      <c r="A805" s="5" t="s">
        <v>692</v>
      </c>
      <c r="B805" s="6" t="s">
        <v>715</v>
      </c>
      <c r="C805" s="6" t="s">
        <v>15</v>
      </c>
      <c r="D805" s="6" t="s">
        <v>16</v>
      </c>
      <c r="E805" s="6" t="s">
        <v>3</v>
      </c>
      <c r="F805" s="6" t="s">
        <v>17</v>
      </c>
      <c r="G805" s="5" t="s">
        <v>918</v>
      </c>
      <c r="H805" s="6" t="s">
        <v>28</v>
      </c>
      <c r="I805" s="7">
        <v>570</v>
      </c>
      <c r="J805" s="6" t="s">
        <v>835</v>
      </c>
      <c r="K805" s="61"/>
      <c r="L805" s="21">
        <f>0.057*255.26*117.5809</f>
        <v>1710.780930438</v>
      </c>
      <c r="M805" s="21">
        <f>L805*0.3</f>
        <v>513.23427913139994</v>
      </c>
    </row>
    <row r="806" spans="1:14" x14ac:dyDescent="0.25">
      <c r="A806" s="5"/>
      <c r="B806" s="6"/>
      <c r="C806" s="6"/>
      <c r="D806" s="6"/>
      <c r="E806" s="6"/>
      <c r="F806" s="6"/>
      <c r="G806" s="5"/>
      <c r="H806" s="13" t="s">
        <v>25</v>
      </c>
      <c r="I806" s="7">
        <f>+SUM(I804:I805)</f>
        <v>4585</v>
      </c>
      <c r="J806" s="6"/>
      <c r="K806" s="62"/>
      <c r="L806" s="38">
        <f>SUM(L804:L805)</f>
        <v>13761.281694839001</v>
      </c>
      <c r="M806" s="38">
        <f>SUM(M804:M805)</f>
        <v>4128.3845084516997</v>
      </c>
    </row>
    <row r="807" spans="1:14" ht="22.5" x14ac:dyDescent="0.25">
      <c r="A807" s="5" t="s">
        <v>919</v>
      </c>
      <c r="B807" s="6" t="s">
        <v>238</v>
      </c>
      <c r="C807" s="6" t="s">
        <v>15</v>
      </c>
      <c r="D807" s="6" t="s">
        <v>16</v>
      </c>
      <c r="E807" s="6" t="s">
        <v>3</v>
      </c>
      <c r="F807" s="6" t="s">
        <v>17</v>
      </c>
      <c r="G807" s="5" t="s">
        <v>920</v>
      </c>
      <c r="H807" s="6" t="s">
        <v>179</v>
      </c>
      <c r="I807" s="7">
        <v>1426</v>
      </c>
      <c r="J807" s="6" t="s">
        <v>921</v>
      </c>
      <c r="K807" s="24">
        <v>1</v>
      </c>
      <c r="L807" s="59">
        <f>0.1426*280.51*117.5809</f>
        <v>4703.3213637334002</v>
      </c>
      <c r="M807" s="19">
        <f t="shared" ref="M807:M820" si="49">L807*0.3</f>
        <v>1410.99640912002</v>
      </c>
    </row>
    <row r="808" spans="1:14" ht="22.5" x14ac:dyDescent="0.25">
      <c r="A808" s="5" t="s">
        <v>919</v>
      </c>
      <c r="B808" s="6" t="s">
        <v>238</v>
      </c>
      <c r="C808" s="6" t="s">
        <v>15</v>
      </c>
      <c r="D808" s="6" t="s">
        <v>16</v>
      </c>
      <c r="E808" s="6" t="s">
        <v>3</v>
      </c>
      <c r="F808" s="6" t="s">
        <v>17</v>
      </c>
      <c r="G808" s="5" t="s">
        <v>922</v>
      </c>
      <c r="H808" s="6" t="s">
        <v>179</v>
      </c>
      <c r="I808" s="7">
        <v>1005</v>
      </c>
      <c r="J808" s="6" t="s">
        <v>20</v>
      </c>
      <c r="K808" s="24">
        <v>2</v>
      </c>
      <c r="L808" s="9">
        <f>0.1005*280.51*117.5809</f>
        <v>3314.7531350295003</v>
      </c>
      <c r="M808" s="22">
        <f t="shared" si="49"/>
        <v>994.42594050885009</v>
      </c>
    </row>
    <row r="809" spans="1:14" ht="33.75" x14ac:dyDescent="0.25">
      <c r="A809" s="5" t="s">
        <v>919</v>
      </c>
      <c r="B809" s="6" t="s">
        <v>923</v>
      </c>
      <c r="C809" s="6" t="s">
        <v>15</v>
      </c>
      <c r="D809" s="6" t="s">
        <v>16</v>
      </c>
      <c r="E809" s="6" t="s">
        <v>3</v>
      </c>
      <c r="F809" s="6" t="s">
        <v>17</v>
      </c>
      <c r="G809" s="5" t="s">
        <v>481</v>
      </c>
      <c r="H809" s="6" t="s">
        <v>28</v>
      </c>
      <c r="I809" s="7">
        <v>390</v>
      </c>
      <c r="J809" s="6" t="s">
        <v>392</v>
      </c>
      <c r="K809" s="24">
        <v>3</v>
      </c>
      <c r="L809" s="15">
        <f>0.039*255.26*117.5809</f>
        <v>1170.5343208260001</v>
      </c>
      <c r="M809" s="19">
        <f t="shared" si="49"/>
        <v>351.16029624780003</v>
      </c>
    </row>
    <row r="810" spans="1:14" ht="22.5" x14ac:dyDescent="0.25">
      <c r="A810" s="5" t="s">
        <v>919</v>
      </c>
      <c r="B810" s="6" t="s">
        <v>923</v>
      </c>
      <c r="C810" s="6" t="s">
        <v>15</v>
      </c>
      <c r="D810" s="6" t="s">
        <v>16</v>
      </c>
      <c r="E810" s="6" t="s">
        <v>3</v>
      </c>
      <c r="F810" s="6" t="s">
        <v>17</v>
      </c>
      <c r="G810" s="5" t="s">
        <v>924</v>
      </c>
      <c r="H810" s="6" t="s">
        <v>179</v>
      </c>
      <c r="I810" s="7">
        <v>273</v>
      </c>
      <c r="J810" s="6" t="s">
        <v>925</v>
      </c>
      <c r="K810" s="24">
        <v>4</v>
      </c>
      <c r="L810" s="9">
        <f>0.0273*280.51*117.5809</f>
        <v>900.4254784707</v>
      </c>
      <c r="M810" s="22">
        <f t="shared" si="49"/>
        <v>270.12764354120998</v>
      </c>
    </row>
    <row r="811" spans="1:14" ht="22.5" x14ac:dyDescent="0.25">
      <c r="A811" s="5" t="s">
        <v>919</v>
      </c>
      <c r="B811" s="6" t="s">
        <v>923</v>
      </c>
      <c r="C811" s="6" t="s">
        <v>15</v>
      </c>
      <c r="D811" s="6" t="s">
        <v>16</v>
      </c>
      <c r="E811" s="6" t="s">
        <v>3</v>
      </c>
      <c r="F811" s="6" t="s">
        <v>17</v>
      </c>
      <c r="G811" s="5" t="s">
        <v>926</v>
      </c>
      <c r="H811" s="6" t="s">
        <v>28</v>
      </c>
      <c r="I811" s="7">
        <v>933</v>
      </c>
      <c r="J811" s="6" t="s">
        <v>20</v>
      </c>
      <c r="K811" s="24">
        <v>5</v>
      </c>
      <c r="L811" s="15">
        <f>0.0933*255.26*117.5809</f>
        <v>2800.2782598221997</v>
      </c>
      <c r="M811" s="19">
        <f t="shared" si="49"/>
        <v>840.08347794665985</v>
      </c>
    </row>
    <row r="812" spans="1:14" ht="22.5" x14ac:dyDescent="0.25">
      <c r="A812" s="5" t="s">
        <v>919</v>
      </c>
      <c r="B812" s="6" t="s">
        <v>923</v>
      </c>
      <c r="C812" s="6" t="s">
        <v>15</v>
      </c>
      <c r="D812" s="6" t="s">
        <v>16</v>
      </c>
      <c r="E812" s="6" t="s">
        <v>3</v>
      </c>
      <c r="F812" s="6" t="s">
        <v>17</v>
      </c>
      <c r="G812" s="5" t="s">
        <v>927</v>
      </c>
      <c r="H812" s="6" t="s">
        <v>99</v>
      </c>
      <c r="I812" s="7">
        <v>614</v>
      </c>
      <c r="J812" s="6" t="s">
        <v>831</v>
      </c>
      <c r="K812" s="24">
        <v>6</v>
      </c>
      <c r="L812" s="9">
        <f>0.0614*76.58*117.5809</f>
        <v>552.86680277079995</v>
      </c>
      <c r="M812" s="22">
        <f t="shared" si="49"/>
        <v>165.86004083123998</v>
      </c>
      <c r="N812" s="17"/>
    </row>
    <row r="813" spans="1:14" ht="22.5" x14ac:dyDescent="0.25">
      <c r="A813" s="5" t="s">
        <v>928</v>
      </c>
      <c r="B813" s="6" t="s">
        <v>929</v>
      </c>
      <c r="C813" s="6" t="s">
        <v>15</v>
      </c>
      <c r="D813" s="6" t="s">
        <v>16</v>
      </c>
      <c r="E813" s="6" t="s">
        <v>3</v>
      </c>
      <c r="F813" s="6" t="s">
        <v>17</v>
      </c>
      <c r="G813" s="5" t="s">
        <v>930</v>
      </c>
      <c r="H813" s="6" t="s">
        <v>125</v>
      </c>
      <c r="I813" s="7">
        <v>1371</v>
      </c>
      <c r="J813" s="6" t="s">
        <v>33</v>
      </c>
      <c r="K813" s="24">
        <v>1</v>
      </c>
      <c r="L813" s="15">
        <f>0.1371*201.96*117.5809</f>
        <v>3255.6641471243997</v>
      </c>
      <c r="M813" s="15">
        <f t="shared" si="49"/>
        <v>976.69924413731985</v>
      </c>
    </row>
    <row r="814" spans="1:14" ht="22.5" x14ac:dyDescent="0.25">
      <c r="A814" s="5" t="s">
        <v>928</v>
      </c>
      <c r="B814" s="6" t="s">
        <v>929</v>
      </c>
      <c r="C814" s="6" t="s">
        <v>15</v>
      </c>
      <c r="D814" s="6" t="s">
        <v>16</v>
      </c>
      <c r="E814" s="6" t="s">
        <v>3</v>
      </c>
      <c r="F814" s="6" t="s">
        <v>17</v>
      </c>
      <c r="G814" s="5" t="s">
        <v>931</v>
      </c>
      <c r="H814" s="6" t="s">
        <v>125</v>
      </c>
      <c r="I814" s="7">
        <v>1759</v>
      </c>
      <c r="J814" s="6" t="s">
        <v>932</v>
      </c>
      <c r="K814" s="24">
        <v>2</v>
      </c>
      <c r="L814" s="22">
        <f>0.1759*201.96*117.5809</f>
        <v>4177.0337234076005</v>
      </c>
      <c r="M814" s="22">
        <f t="shared" si="49"/>
        <v>1253.1101170222801</v>
      </c>
    </row>
    <row r="815" spans="1:14" ht="22.5" x14ac:dyDescent="0.25">
      <c r="A815" s="5" t="s">
        <v>928</v>
      </c>
      <c r="B815" s="6" t="s">
        <v>929</v>
      </c>
      <c r="C815" s="6" t="s">
        <v>15</v>
      </c>
      <c r="D815" s="6" t="s">
        <v>16</v>
      </c>
      <c r="E815" s="6" t="s">
        <v>3</v>
      </c>
      <c r="F815" s="6" t="s">
        <v>17</v>
      </c>
      <c r="G815" s="5" t="s">
        <v>933</v>
      </c>
      <c r="H815" s="6" t="s">
        <v>19</v>
      </c>
      <c r="I815" s="7">
        <v>161</v>
      </c>
      <c r="J815" s="6" t="s">
        <v>932</v>
      </c>
      <c r="K815" s="24">
        <v>3</v>
      </c>
      <c r="L815" s="19">
        <f>0.0161*68.16*117.5809</f>
        <v>129.03045771839999</v>
      </c>
      <c r="M815" s="19">
        <f t="shared" si="49"/>
        <v>38.709137315519996</v>
      </c>
    </row>
    <row r="816" spans="1:14" ht="22.5" x14ac:dyDescent="0.25">
      <c r="A816" s="5" t="s">
        <v>928</v>
      </c>
      <c r="B816" s="6" t="s">
        <v>929</v>
      </c>
      <c r="C816" s="6" t="s">
        <v>15</v>
      </c>
      <c r="D816" s="6" t="s">
        <v>16</v>
      </c>
      <c r="E816" s="6" t="s">
        <v>3</v>
      </c>
      <c r="F816" s="6" t="s">
        <v>17</v>
      </c>
      <c r="G816" s="5" t="s">
        <v>934</v>
      </c>
      <c r="H816" s="6" t="s">
        <v>125</v>
      </c>
      <c r="I816" s="7">
        <v>116</v>
      </c>
      <c r="J816" s="6" t="s">
        <v>372</v>
      </c>
      <c r="K816" s="24">
        <v>4</v>
      </c>
      <c r="L816" s="22">
        <f>0.0116*201.96*117.5809</f>
        <v>275.46100734239997</v>
      </c>
      <c r="M816" s="22">
        <f t="shared" si="49"/>
        <v>82.638302202719984</v>
      </c>
    </row>
    <row r="817" spans="1:15" ht="22.5" x14ac:dyDescent="0.25">
      <c r="A817" s="5" t="s">
        <v>928</v>
      </c>
      <c r="B817" s="6" t="s">
        <v>929</v>
      </c>
      <c r="C817" s="6" t="s">
        <v>15</v>
      </c>
      <c r="D817" s="6" t="s">
        <v>16</v>
      </c>
      <c r="E817" s="6" t="s">
        <v>3</v>
      </c>
      <c r="F817" s="6" t="s">
        <v>17</v>
      </c>
      <c r="G817" s="5" t="s">
        <v>935</v>
      </c>
      <c r="H817" s="6" t="s">
        <v>125</v>
      </c>
      <c r="I817" s="7">
        <v>256</v>
      </c>
      <c r="J817" s="6" t="s">
        <v>372</v>
      </c>
      <c r="K817" s="24">
        <v>5</v>
      </c>
      <c r="L817" s="19">
        <f>0.0256*201.96*117.5809</f>
        <v>607.91394723840006</v>
      </c>
      <c r="M817" s="19">
        <f t="shared" si="49"/>
        <v>182.37418417152</v>
      </c>
    </row>
    <row r="818" spans="1:15" ht="22.5" x14ac:dyDescent="0.25">
      <c r="A818" s="5" t="s">
        <v>928</v>
      </c>
      <c r="B818" s="6" t="s">
        <v>929</v>
      </c>
      <c r="C818" s="6" t="s">
        <v>15</v>
      </c>
      <c r="D818" s="6" t="s">
        <v>16</v>
      </c>
      <c r="E818" s="6" t="s">
        <v>3</v>
      </c>
      <c r="F818" s="6" t="s">
        <v>17</v>
      </c>
      <c r="G818" s="5" t="s">
        <v>936</v>
      </c>
      <c r="H818" s="6" t="s">
        <v>125</v>
      </c>
      <c r="I818" s="7">
        <v>351</v>
      </c>
      <c r="J818" s="6" t="s">
        <v>372</v>
      </c>
      <c r="K818" s="24">
        <v>6</v>
      </c>
      <c r="L818" s="22">
        <f>0.0351*201.96*117.5809</f>
        <v>833.50701359640004</v>
      </c>
      <c r="M818" s="22">
        <f t="shared" si="49"/>
        <v>250.05210407892</v>
      </c>
    </row>
    <row r="819" spans="1:15" ht="22.5" x14ac:dyDescent="0.25">
      <c r="A819" s="5" t="s">
        <v>928</v>
      </c>
      <c r="B819" s="6" t="s">
        <v>929</v>
      </c>
      <c r="C819" s="6" t="s">
        <v>15</v>
      </c>
      <c r="D819" s="6" t="s">
        <v>16</v>
      </c>
      <c r="E819" s="6" t="s">
        <v>3</v>
      </c>
      <c r="F819" s="6" t="s">
        <v>17</v>
      </c>
      <c r="G819" s="5" t="s">
        <v>937</v>
      </c>
      <c r="H819" s="6" t="s">
        <v>160</v>
      </c>
      <c r="I819" s="7">
        <v>989</v>
      </c>
      <c r="J819" s="6" t="s">
        <v>372</v>
      </c>
      <c r="K819" s="24">
        <v>7</v>
      </c>
      <c r="L819" s="19">
        <f>0.0989*176.72*117.5809</f>
        <v>2055.0328784871999</v>
      </c>
      <c r="M819" s="19">
        <f t="shared" si="49"/>
        <v>616.50986354615998</v>
      </c>
    </row>
    <row r="820" spans="1:15" ht="22.5" x14ac:dyDescent="0.25">
      <c r="A820" s="5" t="s">
        <v>928</v>
      </c>
      <c r="B820" s="6" t="s">
        <v>929</v>
      </c>
      <c r="C820" s="6" t="s">
        <v>15</v>
      </c>
      <c r="D820" s="6" t="s">
        <v>16</v>
      </c>
      <c r="E820" s="6" t="s">
        <v>3</v>
      </c>
      <c r="F820" s="6" t="s">
        <v>17</v>
      </c>
      <c r="G820" s="5" t="s">
        <v>938</v>
      </c>
      <c r="H820" s="6" t="s">
        <v>409</v>
      </c>
      <c r="I820" s="7">
        <v>2305</v>
      </c>
      <c r="J820" s="6" t="s">
        <v>372</v>
      </c>
      <c r="K820" s="24">
        <v>8</v>
      </c>
      <c r="L820" s="22">
        <f>0.2305*51.05*117.5809</f>
        <v>1383.5773898225</v>
      </c>
      <c r="M820" s="22">
        <f t="shared" si="49"/>
        <v>415.07321694674999</v>
      </c>
      <c r="N820" s="17"/>
      <c r="O820" s="17"/>
    </row>
  </sheetData>
  <mergeCells count="100">
    <mergeCell ref="K34:K36"/>
    <mergeCell ref="K3:K5"/>
    <mergeCell ref="K10:K12"/>
    <mergeCell ref="K14:K17"/>
    <mergeCell ref="K18:K26"/>
    <mergeCell ref="K27:K31"/>
    <mergeCell ref="K153:K159"/>
    <mergeCell ref="K37:K40"/>
    <mergeCell ref="K47:K49"/>
    <mergeCell ref="K53:K61"/>
    <mergeCell ref="K74:K76"/>
    <mergeCell ref="K94:K96"/>
    <mergeCell ref="K105:K107"/>
    <mergeCell ref="K127:K129"/>
    <mergeCell ref="K130:K132"/>
    <mergeCell ref="K133:K135"/>
    <mergeCell ref="K137:K144"/>
    <mergeCell ref="K145:K152"/>
    <mergeCell ref="K273:K275"/>
    <mergeCell ref="K160:K163"/>
    <mergeCell ref="K164:K171"/>
    <mergeCell ref="K176:K180"/>
    <mergeCell ref="K181:K183"/>
    <mergeCell ref="K185:K188"/>
    <mergeCell ref="K194:K199"/>
    <mergeCell ref="K201:K238"/>
    <mergeCell ref="K243:K250"/>
    <mergeCell ref="K252:K254"/>
    <mergeCell ref="K260:K262"/>
    <mergeCell ref="K268:K270"/>
    <mergeCell ref="K364:K372"/>
    <mergeCell ref="K288:K290"/>
    <mergeCell ref="K294:K296"/>
    <mergeCell ref="K299:K301"/>
    <mergeCell ref="K308:K311"/>
    <mergeCell ref="K314:K316"/>
    <mergeCell ref="K328:K330"/>
    <mergeCell ref="K338:K340"/>
    <mergeCell ref="K345:K347"/>
    <mergeCell ref="K348:K357"/>
    <mergeCell ref="K358:K360"/>
    <mergeCell ref="K361:K363"/>
    <mergeCell ref="K452:K455"/>
    <mergeCell ref="K374:K376"/>
    <mergeCell ref="K381:K384"/>
    <mergeCell ref="K385:K387"/>
    <mergeCell ref="K393:K396"/>
    <mergeCell ref="K397:K403"/>
    <mergeCell ref="K404:K407"/>
    <mergeCell ref="K409:K412"/>
    <mergeCell ref="K413:K416"/>
    <mergeCell ref="K419:K421"/>
    <mergeCell ref="K425:K443"/>
    <mergeCell ref="K444:K451"/>
    <mergeCell ref="K541:K547"/>
    <mergeCell ref="K456:K458"/>
    <mergeCell ref="K459:K461"/>
    <mergeCell ref="K462:K470"/>
    <mergeCell ref="K471:K487"/>
    <mergeCell ref="K488:K490"/>
    <mergeCell ref="K491:K505"/>
    <mergeCell ref="K506:K510"/>
    <mergeCell ref="K517:K519"/>
    <mergeCell ref="K522:K524"/>
    <mergeCell ref="K526:K529"/>
    <mergeCell ref="K535:K540"/>
    <mergeCell ref="K605:K645"/>
    <mergeCell ref="K548:K553"/>
    <mergeCell ref="K554:K560"/>
    <mergeCell ref="K563:K565"/>
    <mergeCell ref="K570:K574"/>
    <mergeCell ref="K575:K577"/>
    <mergeCell ref="K578:K580"/>
    <mergeCell ref="K581:K586"/>
    <mergeCell ref="K588:K590"/>
    <mergeCell ref="K592:K594"/>
    <mergeCell ref="K598:K600"/>
    <mergeCell ref="K601:K603"/>
    <mergeCell ref="K745:K747"/>
    <mergeCell ref="K647:K652"/>
    <mergeCell ref="K653:K675"/>
    <mergeCell ref="K676:K678"/>
    <mergeCell ref="K681:K693"/>
    <mergeCell ref="K694:K708"/>
    <mergeCell ref="K714:K718"/>
    <mergeCell ref="K719:K721"/>
    <mergeCell ref="K722:K726"/>
    <mergeCell ref="K727:K732"/>
    <mergeCell ref="K736:K740"/>
    <mergeCell ref="K742:K744"/>
    <mergeCell ref="K782:K789"/>
    <mergeCell ref="K793:K800"/>
    <mergeCell ref="K801:K803"/>
    <mergeCell ref="K804:K806"/>
    <mergeCell ref="K749:K751"/>
    <mergeCell ref="K752:K754"/>
    <mergeCell ref="K756:K763"/>
    <mergeCell ref="K764:K769"/>
    <mergeCell ref="K770:K776"/>
    <mergeCell ref="K777:K7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2021-11-30T13:08:34Z</dcterms:modified>
</cp:coreProperties>
</file>